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30" windowWidth="18435" windowHeight="10995"/>
  </bookViews>
  <sheets>
    <sheet name="Noviembre" sheetId="13" r:id="rId1"/>
  </sheets>
  <definedNames>
    <definedName name="_xlnm.Print_Area" localSheetId="0">Noviembre!$A$1:$AE$60</definedName>
  </definedNames>
  <calcPr calcId="145621"/>
</workbook>
</file>

<file path=xl/calcChain.xml><?xml version="1.0" encoding="utf-8"?>
<calcChain xmlns="http://schemas.openxmlformats.org/spreadsheetml/2006/main">
  <c r="X59" i="13" l="1"/>
  <c r="X60" i="13" s="1"/>
  <c r="V60" i="13"/>
  <c r="W60" i="13"/>
  <c r="E64" i="13"/>
  <c r="D65" i="13"/>
  <c r="J58" i="13" l="1"/>
  <c r="H58" i="13"/>
  <c r="G58" i="13"/>
  <c r="D58" i="13"/>
  <c r="C58" i="13"/>
  <c r="E57" i="13"/>
  <c r="E56" i="13"/>
  <c r="E55" i="13"/>
  <c r="E54" i="13"/>
  <c r="E53" i="13"/>
  <c r="E52" i="13"/>
  <c r="E51" i="13"/>
  <c r="E50" i="13"/>
  <c r="E49" i="13"/>
  <c r="E48" i="13"/>
  <c r="N48" i="13" s="1"/>
  <c r="N47" i="13"/>
  <c r="E47" i="13"/>
  <c r="P47" i="13" s="1"/>
  <c r="E46" i="13"/>
  <c r="P46" i="13" s="1"/>
  <c r="E45" i="13"/>
  <c r="N45" i="13" s="1"/>
  <c r="E44" i="13"/>
  <c r="N44" i="13" s="1"/>
  <c r="N43" i="13"/>
  <c r="E43" i="13"/>
  <c r="P43" i="13" s="1"/>
  <c r="E42" i="13"/>
  <c r="P42" i="13" s="1"/>
  <c r="E41" i="13"/>
  <c r="N41" i="13" s="1"/>
  <c r="E40" i="13"/>
  <c r="P40" i="13" s="1"/>
  <c r="N39" i="13"/>
  <c r="E39" i="13"/>
  <c r="P39" i="13" s="1"/>
  <c r="E38" i="13"/>
  <c r="P38" i="13" s="1"/>
  <c r="E37" i="13"/>
  <c r="N37" i="13" s="1"/>
  <c r="E36" i="13"/>
  <c r="P36" i="13" s="1"/>
  <c r="N35" i="13"/>
  <c r="E35" i="13"/>
  <c r="P35" i="13" s="1"/>
  <c r="E34" i="13"/>
  <c r="P34" i="13" s="1"/>
  <c r="E33" i="13"/>
  <c r="N33" i="13" s="1"/>
  <c r="E32" i="13"/>
  <c r="P32" i="13" s="1"/>
  <c r="N31" i="13"/>
  <c r="E31" i="13"/>
  <c r="P31" i="13" s="1"/>
  <c r="E30" i="13"/>
  <c r="P30" i="13" s="1"/>
  <c r="E29" i="13"/>
  <c r="N29" i="13" s="1"/>
  <c r="E28" i="13"/>
  <c r="P28" i="13" s="1"/>
  <c r="N27" i="13"/>
  <c r="E27" i="13"/>
  <c r="P27" i="13" s="1"/>
  <c r="E26" i="13"/>
  <c r="P26" i="13" s="1"/>
  <c r="E25" i="13"/>
  <c r="N25" i="13" s="1"/>
  <c r="E24" i="13"/>
  <c r="N24" i="13" s="1"/>
  <c r="N23" i="13"/>
  <c r="E23" i="13"/>
  <c r="P23" i="13" s="1"/>
  <c r="E22" i="13"/>
  <c r="N22" i="13" s="1"/>
  <c r="E21" i="13"/>
  <c r="N21" i="13" s="1"/>
  <c r="E20" i="13"/>
  <c r="N20" i="13" s="1"/>
  <c r="E19" i="13"/>
  <c r="N19" i="13" s="1"/>
  <c r="E18" i="13"/>
  <c r="N18" i="13" s="1"/>
  <c r="E17" i="13"/>
  <c r="N17" i="13" s="1"/>
  <c r="E16" i="13"/>
  <c r="O16" i="13" s="1"/>
  <c r="E15" i="13"/>
  <c r="N15" i="13" s="1"/>
  <c r="E14" i="13"/>
  <c r="N14" i="13" s="1"/>
  <c r="E13" i="13"/>
  <c r="N13" i="13" s="1"/>
  <c r="E12" i="13"/>
  <c r="N12" i="13" s="1"/>
  <c r="E11" i="13"/>
  <c r="N11" i="13" s="1"/>
  <c r="E10" i="13"/>
  <c r="N10" i="13" s="1"/>
  <c r="E9" i="13"/>
  <c r="N9" i="13" s="1"/>
  <c r="E8" i="13"/>
  <c r="N8" i="13" s="1"/>
  <c r="E7" i="13"/>
  <c r="P7" i="13" s="1"/>
  <c r="AD16" i="13"/>
  <c r="AD19" i="13" s="1"/>
  <c r="AD21" i="13" s="1"/>
  <c r="X58" i="13"/>
  <c r="X57" i="13"/>
  <c r="X56" i="13"/>
  <c r="X55" i="13"/>
  <c r="X54" i="13"/>
  <c r="X53" i="13"/>
  <c r="X52" i="13"/>
  <c r="X51" i="13"/>
  <c r="X50" i="13"/>
  <c r="X49" i="13"/>
  <c r="X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X32" i="13"/>
  <c r="X31" i="13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N28" i="13" l="1"/>
  <c r="N32" i="13"/>
  <c r="N36" i="13"/>
  <c r="N40" i="13"/>
  <c r="P24" i="13"/>
  <c r="P44" i="13"/>
  <c r="P21" i="13"/>
  <c r="P25" i="13"/>
  <c r="P29" i="13"/>
  <c r="P33" i="13"/>
  <c r="P37" i="13"/>
  <c r="P41" i="13"/>
  <c r="P45" i="13"/>
  <c r="P19" i="13"/>
  <c r="I7" i="13"/>
  <c r="K7" i="13" s="1"/>
  <c r="I8" i="13"/>
  <c r="K8" i="13" s="1"/>
  <c r="I9" i="13"/>
  <c r="K9" i="13" s="1"/>
  <c r="I10" i="13"/>
  <c r="K10" i="13" s="1"/>
  <c r="I11" i="13"/>
  <c r="K11" i="13" s="1"/>
  <c r="I12" i="13"/>
  <c r="K12" i="13" s="1"/>
  <c r="I13" i="13"/>
  <c r="K13" i="13" s="1"/>
  <c r="I14" i="13"/>
  <c r="K14" i="13" s="1"/>
  <c r="I15" i="13"/>
  <c r="K15" i="13" s="1"/>
  <c r="I16" i="13"/>
  <c r="K16" i="13" s="1"/>
  <c r="N26" i="13"/>
  <c r="N30" i="13"/>
  <c r="N34" i="13"/>
  <c r="N38" i="13"/>
  <c r="N42" i="13"/>
  <c r="N46" i="13"/>
  <c r="M7" i="13"/>
  <c r="M8" i="13"/>
  <c r="M9" i="13"/>
  <c r="M10" i="13"/>
  <c r="M11" i="13"/>
  <c r="M12" i="13"/>
  <c r="Q12" i="13" s="1"/>
  <c r="M13" i="13"/>
  <c r="M14" i="13"/>
  <c r="M15" i="13"/>
  <c r="M16" i="13"/>
  <c r="P18" i="13"/>
  <c r="P20" i="13"/>
  <c r="P22" i="13"/>
  <c r="O7" i="13"/>
  <c r="O8" i="13"/>
  <c r="O9" i="13"/>
  <c r="O10" i="13"/>
  <c r="O11" i="13"/>
  <c r="O12" i="13"/>
  <c r="O13" i="13"/>
  <c r="O14" i="13"/>
  <c r="Q14" i="13" s="1"/>
  <c r="O15" i="13"/>
  <c r="P16" i="13"/>
  <c r="P50" i="13"/>
  <c r="O50" i="13"/>
  <c r="I50" i="13"/>
  <c r="K50" i="13" s="1"/>
  <c r="M50" i="13"/>
  <c r="P52" i="13"/>
  <c r="O52" i="13"/>
  <c r="I52" i="13"/>
  <c r="K52" i="13" s="1"/>
  <c r="M52" i="13"/>
  <c r="P54" i="13"/>
  <c r="O54" i="13"/>
  <c r="I54" i="13"/>
  <c r="K54" i="13" s="1"/>
  <c r="M54" i="13"/>
  <c r="P56" i="13"/>
  <c r="O56" i="13"/>
  <c r="I56" i="13"/>
  <c r="K56" i="13" s="1"/>
  <c r="M56" i="13"/>
  <c r="P8" i="13"/>
  <c r="P9" i="13"/>
  <c r="P10" i="13"/>
  <c r="P11" i="13"/>
  <c r="P12" i="13"/>
  <c r="P13" i="13"/>
  <c r="P14" i="13"/>
  <c r="P15" i="13"/>
  <c r="N50" i="13"/>
  <c r="N52" i="13"/>
  <c r="N54" i="13"/>
  <c r="N56" i="13"/>
  <c r="O17" i="13"/>
  <c r="I17" i="13"/>
  <c r="K17" i="13" s="1"/>
  <c r="P17" i="13"/>
  <c r="P49" i="13"/>
  <c r="O49" i="13"/>
  <c r="I49" i="13"/>
  <c r="K49" i="13" s="1"/>
  <c r="M49" i="13"/>
  <c r="P51" i="13"/>
  <c r="O51" i="13"/>
  <c r="I51" i="13"/>
  <c r="K51" i="13" s="1"/>
  <c r="M51" i="13"/>
  <c r="P53" i="13"/>
  <c r="O53" i="13"/>
  <c r="I53" i="13"/>
  <c r="K53" i="13" s="1"/>
  <c r="M53" i="13"/>
  <c r="P55" i="13"/>
  <c r="O55" i="13"/>
  <c r="I55" i="13"/>
  <c r="K55" i="13" s="1"/>
  <c r="M55" i="13"/>
  <c r="P57" i="13"/>
  <c r="O57" i="13"/>
  <c r="I57" i="13"/>
  <c r="K57" i="13" s="1"/>
  <c r="M57" i="13"/>
  <c r="E58" i="13"/>
  <c r="N7" i="13"/>
  <c r="N16" i="13"/>
  <c r="Q16" i="13" s="1"/>
  <c r="O18" i="13"/>
  <c r="I18" i="13"/>
  <c r="K18" i="13" s="1"/>
  <c r="M18" i="13"/>
  <c r="O19" i="13"/>
  <c r="I19" i="13"/>
  <c r="K19" i="13" s="1"/>
  <c r="M19" i="13"/>
  <c r="O20" i="13"/>
  <c r="I20" i="13"/>
  <c r="K20" i="13" s="1"/>
  <c r="M20" i="13"/>
  <c r="O21" i="13"/>
  <c r="I21" i="13"/>
  <c r="K21" i="13" s="1"/>
  <c r="M21" i="13"/>
  <c r="O22" i="13"/>
  <c r="I22" i="13"/>
  <c r="K22" i="13" s="1"/>
  <c r="M22" i="13"/>
  <c r="O23" i="13"/>
  <c r="I23" i="13"/>
  <c r="K23" i="13" s="1"/>
  <c r="M23" i="13"/>
  <c r="O24" i="13"/>
  <c r="I24" i="13"/>
  <c r="K24" i="13" s="1"/>
  <c r="M24" i="13"/>
  <c r="O25" i="13"/>
  <c r="I25" i="13"/>
  <c r="K25" i="13" s="1"/>
  <c r="M25" i="13"/>
  <c r="O26" i="13"/>
  <c r="I26" i="13"/>
  <c r="K26" i="13" s="1"/>
  <c r="M26" i="13"/>
  <c r="O27" i="13"/>
  <c r="I27" i="13"/>
  <c r="K27" i="13" s="1"/>
  <c r="M27" i="13"/>
  <c r="O28" i="13"/>
  <c r="I28" i="13"/>
  <c r="K28" i="13" s="1"/>
  <c r="M28" i="13"/>
  <c r="O29" i="13"/>
  <c r="I29" i="13"/>
  <c r="K29" i="13" s="1"/>
  <c r="M29" i="13"/>
  <c r="O30" i="13"/>
  <c r="I30" i="13"/>
  <c r="K30" i="13" s="1"/>
  <c r="M30" i="13"/>
  <c r="O31" i="13"/>
  <c r="I31" i="13"/>
  <c r="K31" i="13" s="1"/>
  <c r="M31" i="13"/>
  <c r="O32" i="13"/>
  <c r="I32" i="13"/>
  <c r="K32" i="13" s="1"/>
  <c r="M32" i="13"/>
  <c r="O33" i="13"/>
  <c r="I33" i="13"/>
  <c r="K33" i="13" s="1"/>
  <c r="M33" i="13"/>
  <c r="O34" i="13"/>
  <c r="I34" i="13"/>
  <c r="K34" i="13" s="1"/>
  <c r="M34" i="13"/>
  <c r="O35" i="13"/>
  <c r="I35" i="13"/>
  <c r="K35" i="13" s="1"/>
  <c r="M35" i="13"/>
  <c r="O36" i="13"/>
  <c r="I36" i="13"/>
  <c r="K36" i="13" s="1"/>
  <c r="M36" i="13"/>
  <c r="O37" i="13"/>
  <c r="I37" i="13"/>
  <c r="K37" i="13" s="1"/>
  <c r="M37" i="13"/>
  <c r="O38" i="13"/>
  <c r="I38" i="13"/>
  <c r="K38" i="13" s="1"/>
  <c r="M38" i="13"/>
  <c r="O39" i="13"/>
  <c r="I39" i="13"/>
  <c r="K39" i="13" s="1"/>
  <c r="M39" i="13"/>
  <c r="O40" i="13"/>
  <c r="I40" i="13"/>
  <c r="K40" i="13" s="1"/>
  <c r="M40" i="13"/>
  <c r="O41" i="13"/>
  <c r="I41" i="13"/>
  <c r="K41" i="13" s="1"/>
  <c r="M41" i="13"/>
  <c r="O42" i="13"/>
  <c r="I42" i="13"/>
  <c r="K42" i="13" s="1"/>
  <c r="M42" i="13"/>
  <c r="O43" i="13"/>
  <c r="I43" i="13"/>
  <c r="K43" i="13" s="1"/>
  <c r="M43" i="13"/>
  <c r="O44" i="13"/>
  <c r="I44" i="13"/>
  <c r="K44" i="13" s="1"/>
  <c r="M44" i="13"/>
  <c r="O45" i="13"/>
  <c r="I45" i="13"/>
  <c r="K45" i="13" s="1"/>
  <c r="M45" i="13"/>
  <c r="O46" i="13"/>
  <c r="I46" i="13"/>
  <c r="K46" i="13" s="1"/>
  <c r="M46" i="13"/>
  <c r="O47" i="13"/>
  <c r="I47" i="13"/>
  <c r="K47" i="13" s="1"/>
  <c r="M47" i="13"/>
  <c r="P48" i="13"/>
  <c r="O48" i="13"/>
  <c r="I48" i="13"/>
  <c r="K48" i="13" s="1"/>
  <c r="M48" i="13"/>
  <c r="N49" i="13"/>
  <c r="N51" i="13"/>
  <c r="N53" i="13"/>
  <c r="N55" i="13"/>
  <c r="N57" i="13"/>
  <c r="M17" i="13"/>
  <c r="Q8" i="13" l="1"/>
  <c r="Q15" i="13"/>
  <c r="Q11" i="13"/>
  <c r="Q54" i="13"/>
  <c r="Q50" i="13"/>
  <c r="Q24" i="13"/>
  <c r="Q20" i="13"/>
  <c r="Q51" i="13"/>
  <c r="Q17" i="13"/>
  <c r="Q45" i="13"/>
  <c r="Q41" i="13"/>
  <c r="Q37" i="13"/>
  <c r="Q33" i="13"/>
  <c r="Q29" i="13"/>
  <c r="Q25" i="13"/>
  <c r="Q21" i="13"/>
  <c r="K58" i="13"/>
  <c r="Q13" i="13"/>
  <c r="P58" i="13"/>
  <c r="Q55" i="13"/>
  <c r="Q10" i="13"/>
  <c r="Q46" i="13"/>
  <c r="Q42" i="13"/>
  <c r="Q38" i="13"/>
  <c r="Q34" i="13"/>
  <c r="Q30" i="13"/>
  <c r="Q26" i="13"/>
  <c r="Q22" i="13"/>
  <c r="O58" i="13"/>
  <c r="Q44" i="13"/>
  <c r="Q36" i="13"/>
  <c r="Q28" i="13"/>
  <c r="I58" i="13"/>
  <c r="Q18" i="13"/>
  <c r="N58" i="13"/>
  <c r="Q9" i="13"/>
  <c r="Q48" i="13"/>
  <c r="Q47" i="13"/>
  <c r="Q43" i="13"/>
  <c r="Q39" i="13"/>
  <c r="Q35" i="13"/>
  <c r="Q31" i="13"/>
  <c r="Q27" i="13"/>
  <c r="Q23" i="13"/>
  <c r="Q19" i="13"/>
  <c r="M58" i="13"/>
  <c r="Q40" i="13"/>
  <c r="Q32" i="13"/>
  <c r="Q57" i="13"/>
  <c r="Q53" i="13"/>
  <c r="Q49" i="13"/>
  <c r="Q56" i="13"/>
  <c r="Q52" i="13"/>
  <c r="Q7" i="13"/>
  <c r="Q58" i="13" l="1"/>
</calcChain>
</file>

<file path=xl/sharedStrings.xml><?xml version="1.0" encoding="utf-8"?>
<sst xmlns="http://schemas.openxmlformats.org/spreadsheetml/2006/main" count="151" uniqueCount="91">
  <si>
    <t xml:space="preserve">No. </t>
  </si>
  <si>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</si>
  <si>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</si>
  <si>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</si>
  <si>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</si>
  <si>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</si>
  <si>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</si>
  <si>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</si>
  <si>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</si>
  <si>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</si>
  <si>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</si>
  <si>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</si>
  <si>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</si>
  <si>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Pueblo Nuevo Viñas</t>
  </si>
  <si>
    <t>Jalapa</t>
  </si>
  <si>
    <t>Jutiapa</t>
  </si>
  <si>
    <t>Huehuetenango</t>
  </si>
  <si>
    <t>Todos Santos Cuchumatán</t>
  </si>
  <si>
    <t>Chiantla</t>
  </si>
  <si>
    <t>Aguacatán</t>
  </si>
  <si>
    <t>Uspantán</t>
  </si>
  <si>
    <t>Chiquimula</t>
  </si>
  <si>
    <t>Guastatoya</t>
  </si>
  <si>
    <t>Morales</t>
  </si>
  <si>
    <t>Puerto Barrios</t>
  </si>
  <si>
    <t>Quetzaltenango</t>
  </si>
  <si>
    <t>San Marcos</t>
  </si>
  <si>
    <t>Tejutla</t>
  </si>
  <si>
    <t>Retalhuleu</t>
  </si>
  <si>
    <t>Totonicapán</t>
  </si>
  <si>
    <t>San Fernando El Chahal</t>
  </si>
  <si>
    <t>Antigua Guatemala</t>
  </si>
  <si>
    <t>Fronteras, Rio Dulce, Livingston</t>
  </si>
  <si>
    <t>TOTAL</t>
  </si>
  <si>
    <t>MINISTERIO DE COMUNICACIONES INFRAESTRUCTURA Y VIVIENDA</t>
  </si>
  <si>
    <t>San Felipe</t>
  </si>
  <si>
    <t>San Pedro La Laguna</t>
  </si>
  <si>
    <t>Salamá, Baja Verapaz</t>
  </si>
  <si>
    <t xml:space="preserve">Santa Cruz del Quiche </t>
  </si>
  <si>
    <t>Playa Grande Ixcán</t>
  </si>
  <si>
    <t>Santa Lucía Cotzumalguapa</t>
  </si>
  <si>
    <t>Nentón</t>
  </si>
  <si>
    <t xml:space="preserve">San Mateo Ixtatán </t>
  </si>
  <si>
    <t>Cobán, Alta Verapaz</t>
  </si>
  <si>
    <t>Amatitlán</t>
  </si>
  <si>
    <t>El Rico</t>
  </si>
  <si>
    <t>Esquipulas</t>
  </si>
  <si>
    <t>Concepción Sololá</t>
  </si>
  <si>
    <t>San José La Máquina</t>
  </si>
  <si>
    <t>San Jerónimo</t>
  </si>
  <si>
    <t>Morazán</t>
  </si>
  <si>
    <t>Ocos</t>
  </si>
  <si>
    <t>Cubulco</t>
  </si>
  <si>
    <t>Correo Central</t>
  </si>
  <si>
    <t>San Pablo La Laguna</t>
  </si>
  <si>
    <t>San Juan Sacatepéquez</t>
  </si>
  <si>
    <t>La Unión</t>
  </si>
  <si>
    <t>Usumatlán</t>
  </si>
  <si>
    <t>Concepción Las Minas</t>
  </si>
  <si>
    <t>Puerto de San José</t>
  </si>
  <si>
    <t>METAS FISICAS  NOVIEMBRE 2021</t>
  </si>
  <si>
    <t>NOVIEMBRE</t>
  </si>
  <si>
    <t>DEPARTAMENTO DE OPERACIONES POSTALES</t>
  </si>
  <si>
    <t>METAS FISICAS ENTREGA PAQUETERIA NOVIEMBRE 2,021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</si>
  <si>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</si>
  <si>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</si>
  <si>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</si>
  <si>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</si>
  <si>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</si>
  <si>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</si>
  <si>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</si>
  <si>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</si>
  <si>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</si>
  <si>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</si>
  <si>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</si>
  <si>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</si>
  <si>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Xinka</t>
  </si>
  <si>
    <t>Otros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</si>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</sst>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 vertical="center"/>
    </xf>
    <xf numFmtId="0" fontId="3" fillId="3" borderId="6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3" borderId="12" xfId="0" applyFont="1" applyFill="1" applyBorder="1" applyAlignment="1">
      <alignment horizontal="center" vertical="center" wrapText="1"/>
    </xf>
    <xf numFmtId="3" fontId="0" fillId="3" borderId="13" xfId="0" applyNumberForma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/>
    </xf>
    <xf numFmtId="0" fontId="0" fillId="0" borderId="0" xfId="0" applyFont="1"/>
    <xf numFmtId="3" fontId="0" fillId="0" borderId="6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1" fontId="0" fillId="0" borderId="6" xfId="1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1" fontId="0" fillId="0" borderId="6" xfId="0" applyNumberFormat="1" applyBorder="1" applyAlignment="1">
      <alignment horizontal="center" vertical="center"/>
    </xf>
    <xf numFmtId="1" fontId="0" fillId="3" borderId="23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" fontId="0" fillId="3" borderId="6" xfId="1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2" fillId="3" borderId="8" xfId="2" applyFont="1" applyFill="1" applyBorder="1"/>
    <xf numFmtId="3" fontId="12" fillId="3" borderId="8" xfId="0" applyNumberFormat="1" applyFont="1" applyFill="1" applyBorder="1" applyAlignment="1">
      <alignment horizontal="center"/>
    </xf>
    <xf numFmtId="3" fontId="12" fillId="3" borderId="9" xfId="0" applyNumberFormat="1" applyFont="1" applyFill="1" applyBorder="1" applyAlignment="1">
      <alignment horizontal="center"/>
    </xf>
    <xf numFmtId="3" fontId="12" fillId="3" borderId="27" xfId="0" applyNumberFormat="1" applyFont="1" applyFill="1" applyBorder="1" applyAlignment="1">
      <alignment horizontal="center"/>
    </xf>
    <xf numFmtId="3" fontId="12" fillId="3" borderId="10" xfId="0" applyNumberFormat="1" applyFont="1" applyFill="1" applyBorder="1" applyAlignment="1">
      <alignment horizontal="center"/>
    </xf>
    <xf numFmtId="0" fontId="0" fillId="3" borderId="0" xfId="0" applyFill="1"/>
    <xf numFmtId="10" fontId="0" fillId="3" borderId="0" xfId="1" applyNumberFormat="1" applyFont="1" applyFill="1"/>
    <xf numFmtId="0" fontId="8" fillId="0" borderId="0" xfId="0" applyFont="1"/>
    <xf numFmtId="3" fontId="8" fillId="0" borderId="0" xfId="0" applyNumberFormat="1" applyFont="1"/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" fontId="0" fillId="0" borderId="11" xfId="0" applyNumberForma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4" borderId="28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Normal" xfId="0" builtinId="0"/>
    <cellStyle name="Normal 3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57150</xdr:rowOff>
    </xdr:from>
    <xdr:to>
      <xdr:col>20</xdr:col>
      <xdr:colOff>484983</xdr:colOff>
      <xdr:row>3</xdr:row>
      <xdr:rowOff>28576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57149</xdr:rowOff>
    </xdr:from>
    <xdr:to>
      <xdr:col>20</xdr:col>
      <xdr:colOff>752475</xdr:colOff>
      <xdr:row>3</xdr:row>
      <xdr:rowOff>91454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  <xdr:oneCellAnchor>
    <xdr:from>
      <xdr:col>23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95250</xdr:colOff>
      <xdr:row>1</xdr:row>
      <xdr:rowOff>57149</xdr:rowOff>
    </xdr:from>
    <xdr:ext cx="1838325" cy="94870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abSelected="1" view="pageBreakPreview" topLeftCell="K1" zoomScale="60" zoomScaleNormal="100" workbookViewId="0">
      <selection activeCell="V12" sqref="V12"/>
    </sheetView>
  </sheetViews>
  <sheetFormatPr baseColWidth="10" defaultRowHeight="16.5" x14ac:dyDescent="0.3"/>
  <cols>
    <col min="1" max="1" width="12.42578125" style="22" customWidth="1"/>
    <col min="2" max="2" width="28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19" width="11.42578125" style="2"/>
    <col min="20" max="20" width="4.85546875" style="13" bestFit="1" customWidth="1"/>
    <col min="21" max="21" width="38.7109375" style="2" customWidth="1"/>
    <col min="22" max="22" width="19.85546875" style="2" customWidth="1"/>
    <col min="23" max="23" width="16.85546875" style="2" customWidth="1"/>
    <col min="24" max="24" width="31.42578125" style="2" customWidth="1"/>
    <col min="25" max="25" width="11.42578125" style="2"/>
    <col min="29" max="29" width="18.5703125" customWidth="1"/>
    <col min="30" max="30" width="15.85546875" customWidth="1"/>
    <col min="31" max="16384" width="11.42578125" style="2"/>
  </cols>
  <sheetData>
    <row r="1" spans="1:30" x14ac:dyDescent="0.3">
      <c r="T1" s="78" t="s">
        <v>34</v>
      </c>
      <c r="U1" s="78"/>
      <c r="V1" s="78"/>
      <c r="W1" s="78"/>
      <c r="X1" s="78"/>
    </row>
    <row r="2" spans="1:30" ht="36" x14ac:dyDescent="0.55000000000000004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T2" s="78" t="s">
        <v>5</v>
      </c>
      <c r="U2" s="78"/>
      <c r="V2" s="78"/>
      <c r="W2" s="78"/>
      <c r="X2" s="78"/>
    </row>
    <row r="3" spans="1:30" ht="36" x14ac:dyDescent="0.55000000000000004">
      <c r="A3" s="64" t="s">
        <v>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T3" s="78" t="s">
        <v>6</v>
      </c>
      <c r="U3" s="78"/>
      <c r="V3" s="78"/>
      <c r="W3" s="78"/>
      <c r="X3" s="78"/>
    </row>
    <row r="4" spans="1:30" ht="17.25" thickBot="1" x14ac:dyDescent="0.35"/>
    <row r="5" spans="1:30" ht="17.25" customHeight="1" thickBot="1" x14ac:dyDescent="0.35">
      <c r="A5" s="56" t="s">
        <v>78</v>
      </c>
      <c r="B5" s="58" t="s">
        <v>79</v>
      </c>
      <c r="C5" s="65" t="s">
        <v>61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7"/>
      <c r="Q5" s="68"/>
      <c r="T5" s="78" t="s">
        <v>60</v>
      </c>
      <c r="U5" s="78"/>
      <c r="V5" s="78"/>
      <c r="W5" s="78"/>
      <c r="X5" s="78"/>
    </row>
    <row r="6" spans="1:30" ht="30.75" thickBot="1" x14ac:dyDescent="0.35">
      <c r="A6" s="57"/>
      <c r="B6" s="59"/>
      <c r="C6" s="23" t="s">
        <v>80</v>
      </c>
      <c r="D6" s="23" t="s">
        <v>81</v>
      </c>
      <c r="E6" s="23" t="s">
        <v>33</v>
      </c>
      <c r="F6" s="60"/>
      <c r="G6" s="23" t="s">
        <v>82</v>
      </c>
      <c r="H6" s="23" t="s">
        <v>83</v>
      </c>
      <c r="I6" s="23" t="s">
        <v>84</v>
      </c>
      <c r="J6" s="23" t="s">
        <v>85</v>
      </c>
      <c r="K6" s="23" t="s">
        <v>33</v>
      </c>
      <c r="L6" s="62"/>
      <c r="M6" s="24" t="s">
        <v>86</v>
      </c>
      <c r="N6" s="24" t="s">
        <v>87</v>
      </c>
      <c r="O6" s="24" t="s">
        <v>88</v>
      </c>
      <c r="P6" s="25" t="s">
        <v>89</v>
      </c>
      <c r="Q6" s="24" t="s">
        <v>33</v>
      </c>
    </row>
    <row r="7" spans="1:30" ht="16.5" customHeight="1" x14ac:dyDescent="0.3">
      <c r="A7" s="26">
        <v>2968</v>
      </c>
      <c r="B7" s="9" t="s">
        <v>53</v>
      </c>
      <c r="C7" s="4">
        <v>13260</v>
      </c>
      <c r="D7" s="4">
        <v>9817</v>
      </c>
      <c r="E7" s="15">
        <f>+C7+D7</f>
        <v>23077</v>
      </c>
      <c r="F7" s="60"/>
      <c r="G7" s="26">
        <v>0</v>
      </c>
      <c r="H7" s="4">
        <v>0</v>
      </c>
      <c r="I7" s="4">
        <f t="shared" ref="I7:I57" si="0">E7</f>
        <v>23077</v>
      </c>
      <c r="J7" s="4">
        <v>0</v>
      </c>
      <c r="K7" s="15">
        <f t="shared" ref="K7:K57" si="1">+G7+H7+I7+J7</f>
        <v>23077</v>
      </c>
      <c r="L7" s="62"/>
      <c r="M7" s="27">
        <f>+E7*7.11052294150263%</f>
        <v>1640.8953792105619</v>
      </c>
      <c r="N7" s="27">
        <f>+E7*0.178472414749099%</f>
        <v>41.186079151649579</v>
      </c>
      <c r="O7" s="27">
        <f>+E7*0.117176670363183%</f>
        <v>27.040860219711739</v>
      </c>
      <c r="P7" s="55">
        <f>+E7*92.5938279733851%</f>
        <v>21367.877681418078</v>
      </c>
      <c r="Q7" s="32">
        <f>SUM(M7:P7)</f>
        <v>23077</v>
      </c>
      <c r="T7" s="79" t="s">
        <v>0</v>
      </c>
      <c r="U7" s="79" t="s">
        <v>1</v>
      </c>
      <c r="V7" s="82" t="s">
        <v>61</v>
      </c>
      <c r="W7" s="83"/>
      <c r="X7" s="84"/>
    </row>
    <row r="8" spans="1:30" ht="17.25" thickBot="1" x14ac:dyDescent="0.35">
      <c r="A8" s="28">
        <v>16245</v>
      </c>
      <c r="B8" s="5" t="s">
        <v>17</v>
      </c>
      <c r="C8" s="3">
        <v>15</v>
      </c>
      <c r="D8" s="3">
        <v>0</v>
      </c>
      <c r="E8" s="16">
        <f t="shared" ref="E8:E57" si="2">+C8+D8</f>
        <v>15</v>
      </c>
      <c r="F8" s="60"/>
      <c r="G8" s="29">
        <v>0</v>
      </c>
      <c r="H8" s="30">
        <v>0</v>
      </c>
      <c r="I8" s="30">
        <f t="shared" si="0"/>
        <v>15</v>
      </c>
      <c r="J8" s="30">
        <v>0</v>
      </c>
      <c r="K8" s="16">
        <f t="shared" si="1"/>
        <v>15</v>
      </c>
      <c r="L8" s="62"/>
      <c r="M8" s="27">
        <f>+E8*87.96%</f>
        <v>13.193999999999999</v>
      </c>
      <c r="N8" s="27">
        <f>+E8*0.0861326442721792%</f>
        <v>1.291989664082688E-2</v>
      </c>
      <c r="O8" s="27">
        <f>+E8*0.00993838203140529%</f>
        <v>1.4907573047107936E-3</v>
      </c>
      <c r="P8" s="31">
        <f>+E8*11.9359968197178%</f>
        <v>1.7903995229576701</v>
      </c>
      <c r="Q8" s="32">
        <f t="shared" ref="Q8:Q57" si="3">SUM(M8:P8)</f>
        <v>14.998810176903207</v>
      </c>
      <c r="T8" s="80"/>
      <c r="U8" s="81"/>
      <c r="V8" s="1" t="s">
        <v>2</v>
      </c>
      <c r="W8" s="1" t="s">
        <v>3</v>
      </c>
      <c r="X8" s="1" t="s">
        <v>4</v>
      </c>
      <c r="Z8" s="19"/>
      <c r="AA8" s="19"/>
      <c r="AB8" s="19"/>
      <c r="AC8" s="19"/>
      <c r="AD8" s="19"/>
    </row>
    <row r="9" spans="1:30" ht="18.75" x14ac:dyDescent="0.3">
      <c r="A9" s="28">
        <v>16246</v>
      </c>
      <c r="B9" s="5" t="s">
        <v>36</v>
      </c>
      <c r="C9" s="3">
        <v>151</v>
      </c>
      <c r="D9" s="3">
        <v>80</v>
      </c>
      <c r="E9" s="16">
        <f t="shared" si="2"/>
        <v>231</v>
      </c>
      <c r="F9" s="60"/>
      <c r="G9" s="29">
        <v>0</v>
      </c>
      <c r="H9" s="30">
        <v>0</v>
      </c>
      <c r="I9" s="30">
        <f t="shared" si="0"/>
        <v>231</v>
      </c>
      <c r="J9" s="30">
        <v>0</v>
      </c>
      <c r="K9" s="16">
        <f t="shared" si="1"/>
        <v>231</v>
      </c>
      <c r="L9" s="62"/>
      <c r="M9" s="27">
        <f>+E9*96.8893040635217%</f>
        <v>223.81429238673513</v>
      </c>
      <c r="N9" s="27">
        <f>+E9*0.457730032695002%</f>
        <v>1.0573563755254547</v>
      </c>
      <c r="O9" s="27">
        <f>+E9*0.0280242877160206%</f>
        <v>6.4736104624007584E-2</v>
      </c>
      <c r="P9" s="31">
        <f>+E9*2.62494161606726%</f>
        <v>6.0636151331153707</v>
      </c>
      <c r="Q9" s="32">
        <f t="shared" si="3"/>
        <v>230.99999999999997</v>
      </c>
      <c r="T9" s="10">
        <v>1</v>
      </c>
      <c r="U9" s="9" t="s">
        <v>53</v>
      </c>
      <c r="V9" s="4">
        <v>13260</v>
      </c>
      <c r="W9" s="4">
        <v>9817</v>
      </c>
      <c r="X9" s="15">
        <f>+V9+W9</f>
        <v>23077</v>
      </c>
      <c r="Z9" s="77" t="s">
        <v>62</v>
      </c>
      <c r="AA9" s="77"/>
      <c r="AB9" s="77"/>
      <c r="AC9" s="77"/>
      <c r="AD9" s="77"/>
    </row>
    <row r="10" spans="1:30" ht="18.75" x14ac:dyDescent="0.3">
      <c r="A10" s="28">
        <v>16247</v>
      </c>
      <c r="B10" s="5" t="s">
        <v>37</v>
      </c>
      <c r="C10" s="3">
        <v>38</v>
      </c>
      <c r="D10" s="3">
        <v>17</v>
      </c>
      <c r="E10" s="16">
        <f t="shared" si="2"/>
        <v>55</v>
      </c>
      <c r="F10" s="60"/>
      <c r="G10" s="29">
        <v>0</v>
      </c>
      <c r="H10" s="30">
        <v>0</v>
      </c>
      <c r="I10" s="30">
        <f t="shared" si="0"/>
        <v>55</v>
      </c>
      <c r="J10" s="30">
        <v>0</v>
      </c>
      <c r="K10" s="16">
        <f t="shared" si="1"/>
        <v>55</v>
      </c>
      <c r="L10" s="62"/>
      <c r="M10" s="27">
        <f>+E10*22.3040980467254%</f>
        <v>12.26725392569897</v>
      </c>
      <c r="N10" s="27">
        <f>+E10*0.0551512830333206%</f>
        <v>3.0333205668326327E-2</v>
      </c>
      <c r="O10" s="27">
        <f>+E10*0.0245116813481425%</f>
        <v>1.3481424741478374E-2</v>
      </c>
      <c r="P10" s="31">
        <f>+E10*77.6162389888931%</f>
        <v>42.688931443891207</v>
      </c>
      <c r="Q10" s="32">
        <f t="shared" si="3"/>
        <v>54.999999999999979</v>
      </c>
      <c r="T10" s="10">
        <v>2</v>
      </c>
      <c r="U10" s="5" t="s">
        <v>17</v>
      </c>
      <c r="V10" s="3">
        <v>15</v>
      </c>
      <c r="W10" s="3">
        <v>0</v>
      </c>
      <c r="X10" s="16">
        <f t="shared" ref="X10:X22" si="4">+V10+W10</f>
        <v>15</v>
      </c>
      <c r="Z10" s="77" t="s">
        <v>63</v>
      </c>
      <c r="AA10" s="77"/>
      <c r="AB10" s="77"/>
      <c r="AC10" s="77"/>
      <c r="AD10" s="77"/>
    </row>
    <row r="11" spans="1:30" x14ac:dyDescent="0.3">
      <c r="A11" s="33">
        <v>16248</v>
      </c>
      <c r="B11" s="6" t="s">
        <v>15</v>
      </c>
      <c r="C11" s="3">
        <v>355</v>
      </c>
      <c r="D11" s="3">
        <v>265</v>
      </c>
      <c r="E11" s="17">
        <f t="shared" si="2"/>
        <v>620</v>
      </c>
      <c r="F11" s="60"/>
      <c r="G11" s="33">
        <v>0</v>
      </c>
      <c r="H11" s="34">
        <v>0</v>
      </c>
      <c r="I11" s="34">
        <f t="shared" si="0"/>
        <v>620</v>
      </c>
      <c r="J11" s="34">
        <v>0</v>
      </c>
      <c r="K11" s="17">
        <f t="shared" si="1"/>
        <v>620</v>
      </c>
      <c r="L11" s="62"/>
      <c r="M11" s="27">
        <f>+E11*1.1084452975048%</f>
        <v>6.8723608445297604</v>
      </c>
      <c r="N11" s="27">
        <f>+E11*0.216616397038662%</f>
        <v>1.3430216616397044</v>
      </c>
      <c r="O11" s="27">
        <f>+E11*34.4941047436249%</f>
        <v>213.8634494104744</v>
      </c>
      <c r="P11" s="31">
        <f>+E11*64.1808335618316%</f>
        <v>397.92116808335595</v>
      </c>
      <c r="Q11" s="32">
        <f t="shared" si="3"/>
        <v>619.99999999999977</v>
      </c>
      <c r="T11" s="10">
        <v>3</v>
      </c>
      <c r="U11" s="5" t="s">
        <v>36</v>
      </c>
      <c r="V11" s="3">
        <v>151</v>
      </c>
      <c r="W11" s="3">
        <v>80</v>
      </c>
      <c r="X11" s="16">
        <f t="shared" si="4"/>
        <v>231</v>
      </c>
      <c r="Z11" s="19"/>
      <c r="AA11" s="19"/>
      <c r="AB11" s="19"/>
      <c r="AC11" s="19"/>
      <c r="AD11" s="19"/>
    </row>
    <row r="12" spans="1:30" x14ac:dyDescent="0.3">
      <c r="A12" s="28">
        <v>16249</v>
      </c>
      <c r="B12" s="5" t="s">
        <v>19</v>
      </c>
      <c r="C12" s="3">
        <v>17</v>
      </c>
      <c r="D12" s="3">
        <v>3</v>
      </c>
      <c r="E12" s="16">
        <f t="shared" si="2"/>
        <v>20</v>
      </c>
      <c r="F12" s="60"/>
      <c r="G12" s="29">
        <v>0</v>
      </c>
      <c r="H12" s="30">
        <v>0</v>
      </c>
      <c r="I12" s="30">
        <f t="shared" si="0"/>
        <v>20</v>
      </c>
      <c r="J12" s="30">
        <v>0</v>
      </c>
      <c r="K12" s="16">
        <f t="shared" si="1"/>
        <v>20</v>
      </c>
      <c r="L12" s="62"/>
      <c r="M12" s="27">
        <f>+E12*88.6306368052896%</f>
        <v>17.72612736105792</v>
      </c>
      <c r="N12" s="27">
        <f>+E12*0.0786179369846998%</f>
        <v>1.5723587396939957E-2</v>
      </c>
      <c r="O12" s="27">
        <f>+E12*0.00201584453806922%</f>
        <v>4.0316890761384397E-4</v>
      </c>
      <c r="P12" s="31">
        <f>+E12*11.2887294131877%</f>
        <v>2.2577458826375398</v>
      </c>
      <c r="Q12" s="32">
        <f t="shared" si="3"/>
        <v>20.000000000000014</v>
      </c>
      <c r="T12" s="10">
        <v>4</v>
      </c>
      <c r="U12" s="5" t="s">
        <v>37</v>
      </c>
      <c r="V12" s="3">
        <v>38</v>
      </c>
      <c r="W12" s="3">
        <v>17</v>
      </c>
      <c r="X12" s="16">
        <f t="shared" si="4"/>
        <v>55</v>
      </c>
      <c r="Z12" s="19"/>
      <c r="AA12" s="19"/>
      <c r="AB12" s="19"/>
      <c r="AC12" s="19"/>
      <c r="AD12" s="19"/>
    </row>
    <row r="13" spans="1:30" x14ac:dyDescent="0.3">
      <c r="A13" s="33">
        <v>16250</v>
      </c>
      <c r="B13" s="6" t="s">
        <v>9</v>
      </c>
      <c r="C13" s="3">
        <v>430</v>
      </c>
      <c r="D13" s="3">
        <v>245</v>
      </c>
      <c r="E13" s="16">
        <f t="shared" si="2"/>
        <v>675</v>
      </c>
      <c r="F13" s="60"/>
      <c r="G13" s="29">
        <v>0</v>
      </c>
      <c r="H13" s="30">
        <v>0</v>
      </c>
      <c r="I13" s="30">
        <f t="shared" si="0"/>
        <v>675</v>
      </c>
      <c r="J13" s="30">
        <v>0</v>
      </c>
      <c r="K13" s="16">
        <f t="shared" si="1"/>
        <v>675</v>
      </c>
      <c r="L13" s="62"/>
      <c r="M13" s="27">
        <f>+E13*63.4974480589782%</f>
        <v>428.60777439810283</v>
      </c>
      <c r="N13" s="27">
        <f>+E13*0.152600917667681%</f>
        <v>1.0300561942568467</v>
      </c>
      <c r="O13" s="27">
        <f>+E13*0.115481775532299%</f>
        <v>0.77950198484301825</v>
      </c>
      <c r="P13" s="31">
        <f>+E13*36.2344692478218%</f>
        <v>244.58266742279713</v>
      </c>
      <c r="Q13" s="32">
        <f t="shared" si="3"/>
        <v>674.99999999999989</v>
      </c>
      <c r="T13" s="10">
        <v>5</v>
      </c>
      <c r="U13" s="6" t="s">
        <v>15</v>
      </c>
      <c r="V13" s="3">
        <v>355</v>
      </c>
      <c r="W13" s="3">
        <v>265</v>
      </c>
      <c r="X13" s="17">
        <f t="shared" si="4"/>
        <v>620</v>
      </c>
      <c r="Z13" s="72" t="s">
        <v>61</v>
      </c>
      <c r="AA13" s="72"/>
      <c r="AB13" s="72"/>
      <c r="AC13" s="72"/>
      <c r="AD13" s="72"/>
    </row>
    <row r="14" spans="1:30" x14ac:dyDescent="0.3">
      <c r="A14" s="28">
        <v>16251</v>
      </c>
      <c r="B14" s="5" t="s">
        <v>25</v>
      </c>
      <c r="C14" s="3">
        <v>1202</v>
      </c>
      <c r="D14" s="3">
        <v>843</v>
      </c>
      <c r="E14" s="16">
        <f t="shared" si="2"/>
        <v>2045</v>
      </c>
      <c r="F14" s="60"/>
      <c r="G14" s="29">
        <v>0</v>
      </c>
      <c r="H14" s="30">
        <v>0</v>
      </c>
      <c r="I14" s="30">
        <f t="shared" si="0"/>
        <v>2045</v>
      </c>
      <c r="J14" s="30">
        <v>0</v>
      </c>
      <c r="K14" s="16">
        <f t="shared" si="1"/>
        <v>2045</v>
      </c>
      <c r="L14" s="62"/>
      <c r="M14" s="27">
        <f>+E14*46.6647482651379%</f>
        <v>954.29410202207009</v>
      </c>
      <c r="N14" s="27">
        <f>+E14*0.115657476785497%</f>
        <v>2.3651954002634135</v>
      </c>
      <c r="O14" s="27">
        <f>+E14*0.0475911148495346%</f>
        <v>0.9732382986729825</v>
      </c>
      <c r="P14" s="31">
        <f>+E14*53.1720031432271%</f>
        <v>1087.3674642789942</v>
      </c>
      <c r="Q14" s="32">
        <f t="shared" si="3"/>
        <v>2045.0000000000007</v>
      </c>
      <c r="T14" s="10">
        <v>6</v>
      </c>
      <c r="U14" s="5" t="s">
        <v>19</v>
      </c>
      <c r="V14" s="3">
        <v>17</v>
      </c>
      <c r="W14" s="3">
        <v>3</v>
      </c>
      <c r="X14" s="16">
        <f t="shared" si="4"/>
        <v>20</v>
      </c>
      <c r="Z14" s="76" t="s">
        <v>64</v>
      </c>
      <c r="AA14" s="72" t="s">
        <v>65</v>
      </c>
      <c r="AB14" s="72"/>
      <c r="AC14" s="72"/>
      <c r="AD14" s="20">
        <v>14828</v>
      </c>
    </row>
    <row r="15" spans="1:30" x14ac:dyDescent="0.3">
      <c r="A15" s="33">
        <v>16253</v>
      </c>
      <c r="B15" s="6" t="s">
        <v>31</v>
      </c>
      <c r="C15" s="3">
        <v>862</v>
      </c>
      <c r="D15" s="3">
        <v>721</v>
      </c>
      <c r="E15" s="16">
        <f t="shared" si="2"/>
        <v>1583</v>
      </c>
      <c r="F15" s="60"/>
      <c r="G15" s="29">
        <v>0</v>
      </c>
      <c r="H15" s="30">
        <v>0</v>
      </c>
      <c r="I15" s="30">
        <f t="shared" si="0"/>
        <v>1583</v>
      </c>
      <c r="J15" s="30">
        <v>0</v>
      </c>
      <c r="K15" s="16">
        <f t="shared" si="1"/>
        <v>1583</v>
      </c>
      <c r="L15" s="62"/>
      <c r="M15" s="27">
        <f>+E15*11.1586398575585%</f>
        <v>176.64126894515104</v>
      </c>
      <c r="N15" s="27">
        <f>+E15*0.1346245711556%</f>
        <v>2.1311069613931481</v>
      </c>
      <c r="O15" s="27">
        <f>+E15*0.0390845529161419%</f>
        <v>0.61870847266252627</v>
      </c>
      <c r="P15" s="31">
        <f>+E15*88.6676510183697%</f>
        <v>1403.6089156207922</v>
      </c>
      <c r="Q15" s="32">
        <f t="shared" si="3"/>
        <v>1582.9999999999989</v>
      </c>
      <c r="T15" s="10">
        <v>7</v>
      </c>
      <c r="U15" s="6" t="s">
        <v>9</v>
      </c>
      <c r="V15" s="3">
        <v>430</v>
      </c>
      <c r="W15" s="3">
        <v>245</v>
      </c>
      <c r="X15" s="16">
        <f t="shared" si="4"/>
        <v>675</v>
      </c>
      <c r="Z15" s="76"/>
      <c r="AA15" s="72" t="s">
        <v>66</v>
      </c>
      <c r="AB15" s="72"/>
      <c r="AC15" s="72"/>
      <c r="AD15" s="20">
        <v>21313</v>
      </c>
    </row>
    <row r="16" spans="1:30" x14ac:dyDescent="0.3">
      <c r="A16" s="33">
        <v>16255</v>
      </c>
      <c r="B16" s="6" t="s">
        <v>7</v>
      </c>
      <c r="C16" s="3">
        <v>436</v>
      </c>
      <c r="D16" s="3">
        <v>406</v>
      </c>
      <c r="E16" s="16">
        <f t="shared" si="2"/>
        <v>842</v>
      </c>
      <c r="F16" s="60"/>
      <c r="G16" s="29">
        <v>0</v>
      </c>
      <c r="H16" s="30">
        <v>0</v>
      </c>
      <c r="I16" s="30">
        <f t="shared" si="0"/>
        <v>842</v>
      </c>
      <c r="J16" s="30">
        <v>0</v>
      </c>
      <c r="K16" s="16">
        <f t="shared" si="1"/>
        <v>842</v>
      </c>
      <c r="L16" s="62"/>
      <c r="M16" s="27">
        <f>+E16*3.07163721995599%</f>
        <v>25.863185392029436</v>
      </c>
      <c r="N16" s="27">
        <f>+E16*0.111953262729858%</f>
        <v>0.94264647218540432</v>
      </c>
      <c r="O16" s="27">
        <f>+E16*0.113240081841696%</f>
        <v>0.95348148910708042</v>
      </c>
      <c r="P16" s="31">
        <f>+E16*96.7031694354725%</f>
        <v>814.24068664667845</v>
      </c>
      <c r="Q16" s="32">
        <f t="shared" si="3"/>
        <v>842.00000000000034</v>
      </c>
      <c r="T16" s="10">
        <v>8</v>
      </c>
      <c r="U16" s="5" t="s">
        <v>25</v>
      </c>
      <c r="V16" s="3">
        <v>1202</v>
      </c>
      <c r="W16" s="3">
        <v>843</v>
      </c>
      <c r="X16" s="16">
        <f t="shared" si="4"/>
        <v>2045</v>
      </c>
      <c r="Z16" s="76"/>
      <c r="AA16" s="72" t="s">
        <v>67</v>
      </c>
      <c r="AB16" s="72"/>
      <c r="AC16" s="72"/>
      <c r="AD16" s="21">
        <f>SUM(AD14:AD15)</f>
        <v>36141</v>
      </c>
    </row>
    <row r="17" spans="1:30" x14ac:dyDescent="0.3">
      <c r="A17" s="28">
        <v>16256</v>
      </c>
      <c r="B17" s="5" t="s">
        <v>16</v>
      </c>
      <c r="C17" s="3">
        <v>478</v>
      </c>
      <c r="D17" s="3">
        <v>222</v>
      </c>
      <c r="E17" s="16">
        <f t="shared" si="2"/>
        <v>700</v>
      </c>
      <c r="F17" s="60"/>
      <c r="G17" s="29">
        <v>0</v>
      </c>
      <c r="H17" s="30">
        <v>0</v>
      </c>
      <c r="I17" s="30">
        <f t="shared" si="0"/>
        <v>700</v>
      </c>
      <c r="J17" s="30">
        <v>0</v>
      </c>
      <c r="K17" s="16">
        <f t="shared" si="1"/>
        <v>700</v>
      </c>
      <c r="L17" s="62"/>
      <c r="M17" s="27">
        <f>+E17*7.41991885789947%</f>
        <v>51.93943200529629</v>
      </c>
      <c r="N17" s="27">
        <f>+E17*0.101003242288954%</f>
        <v>0.70702269602267809</v>
      </c>
      <c r="O17" s="27">
        <f>+E17*0.0135802678707838%</f>
        <v>9.5061875095486609E-2</v>
      </c>
      <c r="P17" s="31">
        <f>+E17*92.4654976319408%</f>
        <v>647.25848342358563</v>
      </c>
      <c r="Q17" s="32">
        <f t="shared" si="3"/>
        <v>700.00000000000011</v>
      </c>
      <c r="T17" s="10">
        <v>9</v>
      </c>
      <c r="U17" s="6" t="s">
        <v>31</v>
      </c>
      <c r="V17" s="3">
        <v>862</v>
      </c>
      <c r="W17" s="3">
        <v>721</v>
      </c>
      <c r="X17" s="16">
        <f t="shared" si="4"/>
        <v>1583</v>
      </c>
      <c r="Z17" s="76" t="s">
        <v>68</v>
      </c>
      <c r="AA17" s="72" t="s">
        <v>69</v>
      </c>
      <c r="AB17" s="72"/>
      <c r="AC17" s="72"/>
      <c r="AD17" s="20">
        <v>0</v>
      </c>
    </row>
    <row r="18" spans="1:30" x14ac:dyDescent="0.3">
      <c r="A18" s="28">
        <v>16257</v>
      </c>
      <c r="B18" s="5" t="s">
        <v>54</v>
      </c>
      <c r="C18" s="3">
        <v>15</v>
      </c>
      <c r="D18" s="3">
        <v>14</v>
      </c>
      <c r="E18" s="16">
        <f t="shared" si="2"/>
        <v>29</v>
      </c>
      <c r="F18" s="60"/>
      <c r="G18" s="29">
        <v>0</v>
      </c>
      <c r="H18" s="30">
        <v>0</v>
      </c>
      <c r="I18" s="30">
        <f t="shared" si="0"/>
        <v>29</v>
      </c>
      <c r="J18" s="30">
        <v>0</v>
      </c>
      <c r="K18" s="16">
        <f t="shared" si="1"/>
        <v>29</v>
      </c>
      <c r="L18" s="62"/>
      <c r="M18" s="27">
        <f>+E18*99.6848883408686%</f>
        <v>28.908617618851892</v>
      </c>
      <c r="N18" s="27">
        <f>+E18*0.164406083025072%</f>
        <v>4.7677764077270882E-2</v>
      </c>
      <c r="O18" s="27">
        <f>+E18*0%</f>
        <v>0</v>
      </c>
      <c r="P18" s="31">
        <f>+E18*0.150705576106316%</f>
        <v>4.370461707083164E-2</v>
      </c>
      <c r="Q18" s="32">
        <f t="shared" si="3"/>
        <v>28.999999999999993</v>
      </c>
      <c r="T18" s="10">
        <v>10</v>
      </c>
      <c r="U18" s="6" t="s">
        <v>7</v>
      </c>
      <c r="V18" s="3">
        <v>436</v>
      </c>
      <c r="W18" s="3">
        <v>406</v>
      </c>
      <c r="X18" s="16">
        <f t="shared" si="4"/>
        <v>842</v>
      </c>
      <c r="Z18" s="76"/>
      <c r="AA18" s="72" t="s">
        <v>70</v>
      </c>
      <c r="AB18" s="72"/>
      <c r="AC18" s="72"/>
      <c r="AD18" s="20">
        <v>0</v>
      </c>
    </row>
    <row r="19" spans="1:30" x14ac:dyDescent="0.3">
      <c r="A19" s="28">
        <v>16258</v>
      </c>
      <c r="B19" s="5" t="s">
        <v>26</v>
      </c>
      <c r="C19" s="3">
        <v>288</v>
      </c>
      <c r="D19" s="3">
        <v>137</v>
      </c>
      <c r="E19" s="16">
        <f t="shared" si="2"/>
        <v>425</v>
      </c>
      <c r="F19" s="60"/>
      <c r="G19" s="29">
        <v>0</v>
      </c>
      <c r="H19" s="30">
        <v>0</v>
      </c>
      <c r="I19" s="30">
        <f t="shared" si="0"/>
        <v>425</v>
      </c>
      <c r="J19" s="30">
        <v>0</v>
      </c>
      <c r="K19" s="16">
        <f t="shared" si="1"/>
        <v>425</v>
      </c>
      <c r="L19" s="62"/>
      <c r="M19" s="27">
        <f>+E19*3.55055988780996%</f>
        <v>15.08987952319233</v>
      </c>
      <c r="N19" s="27">
        <f>+E19*0.146611988186048%</f>
        <v>0.62310094979070407</v>
      </c>
      <c r="O19" s="27">
        <f>+E19*0.0233729256528483%</f>
        <v>9.9334934024605262E-2</v>
      </c>
      <c r="P19" s="31">
        <f>+E19*96.2794551983511%</f>
        <v>409.18768459299218</v>
      </c>
      <c r="Q19" s="32">
        <f t="shared" si="3"/>
        <v>424.99999999999983</v>
      </c>
      <c r="T19" s="10">
        <v>11</v>
      </c>
      <c r="U19" s="5" t="s">
        <v>16</v>
      </c>
      <c r="V19" s="3">
        <v>478</v>
      </c>
      <c r="W19" s="3">
        <v>222</v>
      </c>
      <c r="X19" s="16">
        <f t="shared" si="4"/>
        <v>700</v>
      </c>
      <c r="Z19" s="76"/>
      <c r="AA19" s="72" t="s">
        <v>71</v>
      </c>
      <c r="AB19" s="72"/>
      <c r="AC19" s="72"/>
      <c r="AD19" s="20">
        <f>+AD16</f>
        <v>36141</v>
      </c>
    </row>
    <row r="20" spans="1:30" x14ac:dyDescent="0.3">
      <c r="A20" s="28">
        <v>16259</v>
      </c>
      <c r="B20" s="5" t="s">
        <v>27</v>
      </c>
      <c r="C20" s="3">
        <v>133</v>
      </c>
      <c r="D20" s="3">
        <v>94</v>
      </c>
      <c r="E20" s="16">
        <f t="shared" si="2"/>
        <v>227</v>
      </c>
      <c r="F20" s="60"/>
      <c r="G20" s="29">
        <v>0</v>
      </c>
      <c r="H20" s="30">
        <v>0</v>
      </c>
      <c r="I20" s="30">
        <f t="shared" si="0"/>
        <v>227</v>
      </c>
      <c r="J20" s="30">
        <v>0</v>
      </c>
      <c r="K20" s="16">
        <f t="shared" si="1"/>
        <v>227</v>
      </c>
      <c r="L20" s="62"/>
      <c r="M20" s="27">
        <f>+E20*11.1898419922936%</f>
        <v>25.400941322506469</v>
      </c>
      <c r="N20" s="27">
        <f>+E20*0.0930978303033438%</f>
        <v>0.21133207478859042</v>
      </c>
      <c r="O20" s="27">
        <f>+E20*0%</f>
        <v>0</v>
      </c>
      <c r="P20" s="31">
        <f>+E20*88.7170601774031%</f>
        <v>201.38772660270502</v>
      </c>
      <c r="Q20" s="32">
        <f t="shared" si="3"/>
        <v>227.00000000000009</v>
      </c>
      <c r="T20" s="10">
        <v>12</v>
      </c>
      <c r="U20" s="5" t="s">
        <v>54</v>
      </c>
      <c r="V20" s="3">
        <v>15</v>
      </c>
      <c r="W20" s="3">
        <v>14</v>
      </c>
      <c r="X20" s="16">
        <f t="shared" si="4"/>
        <v>29</v>
      </c>
      <c r="Z20" s="76"/>
      <c r="AA20" s="72" t="s">
        <v>72</v>
      </c>
      <c r="AB20" s="72"/>
      <c r="AC20" s="72"/>
      <c r="AD20" s="20">
        <v>0</v>
      </c>
    </row>
    <row r="21" spans="1:30" x14ac:dyDescent="0.3">
      <c r="A21" s="28">
        <v>16260</v>
      </c>
      <c r="B21" s="5" t="s">
        <v>28</v>
      </c>
      <c r="C21" s="3">
        <v>183</v>
      </c>
      <c r="D21" s="3">
        <v>140</v>
      </c>
      <c r="E21" s="16">
        <f>+C21+D21</f>
        <v>323</v>
      </c>
      <c r="F21" s="60"/>
      <c r="G21" s="29">
        <v>0</v>
      </c>
      <c r="H21" s="30">
        <v>0</v>
      </c>
      <c r="I21" s="30">
        <f t="shared" si="0"/>
        <v>323</v>
      </c>
      <c r="J21" s="30">
        <v>0</v>
      </c>
      <c r="K21" s="16">
        <f t="shared" si="1"/>
        <v>323</v>
      </c>
      <c r="L21" s="62"/>
      <c r="M21" s="27">
        <f>+E21*2.69045909065797%</f>
        <v>8.6901828628252442</v>
      </c>
      <c r="N21" s="27">
        <f>+E21*0.0762388818297332%</f>
        <v>0.24625158831003821</v>
      </c>
      <c r="O21" s="27">
        <f>+E21*0.0121540246395227%</f>
        <v>3.9257499585658322E-2</v>
      </c>
      <c r="P21" s="31">
        <f>+E21*97.2211480028728%</f>
        <v>314.02430804927911</v>
      </c>
      <c r="Q21" s="32">
        <f t="shared" si="3"/>
        <v>323.00000000000006</v>
      </c>
      <c r="T21" s="10">
        <v>13</v>
      </c>
      <c r="U21" s="5" t="s">
        <v>26</v>
      </c>
      <c r="V21" s="3">
        <v>288</v>
      </c>
      <c r="W21" s="3">
        <v>137</v>
      </c>
      <c r="X21" s="16">
        <f t="shared" si="4"/>
        <v>425</v>
      </c>
      <c r="Z21" s="76"/>
      <c r="AA21" s="72" t="s">
        <v>67</v>
      </c>
      <c r="AB21" s="72"/>
      <c r="AC21" s="72"/>
      <c r="AD21" s="21">
        <f>SUM(AD17:AD20)</f>
        <v>36141</v>
      </c>
    </row>
    <row r="22" spans="1:30" x14ac:dyDescent="0.3">
      <c r="A22" s="28">
        <v>16261</v>
      </c>
      <c r="B22" s="5" t="s">
        <v>29</v>
      </c>
      <c r="C22" s="3">
        <v>189</v>
      </c>
      <c r="D22" s="3">
        <v>57</v>
      </c>
      <c r="E22" s="16">
        <f t="shared" si="2"/>
        <v>246</v>
      </c>
      <c r="F22" s="60"/>
      <c r="G22" s="29">
        <v>0</v>
      </c>
      <c r="H22" s="30">
        <v>0</v>
      </c>
      <c r="I22" s="30">
        <f t="shared" si="0"/>
        <v>246</v>
      </c>
      <c r="J22" s="30">
        <v>0</v>
      </c>
      <c r="K22" s="16">
        <f t="shared" si="1"/>
        <v>246</v>
      </c>
      <c r="L22" s="62"/>
      <c r="M22" s="27">
        <f>+E22*96.9668693243035%</f>
        <v>238.53849853778664</v>
      </c>
      <c r="N22" s="27">
        <f>+E22*0.0615668770201632%</f>
        <v>0.15145451746960148</v>
      </c>
      <c r="O22" s="27">
        <f>+E22*0.0144297368016007%</f>
        <v>3.549715253193772E-2</v>
      </c>
      <c r="P22" s="31">
        <f>+E22*2.95713406187471%</f>
        <v>7.2745497922117863</v>
      </c>
      <c r="Q22" s="32">
        <f t="shared" si="3"/>
        <v>245.99999999999997</v>
      </c>
      <c r="T22" s="10">
        <v>14</v>
      </c>
      <c r="U22" s="5" t="s">
        <v>27</v>
      </c>
      <c r="V22" s="3">
        <v>133</v>
      </c>
      <c r="W22" s="3">
        <v>94</v>
      </c>
      <c r="X22" s="16">
        <f t="shared" si="4"/>
        <v>227</v>
      </c>
      <c r="Z22" s="69" t="s">
        <v>73</v>
      </c>
      <c r="AA22" s="72" t="s">
        <v>74</v>
      </c>
      <c r="AB22" s="72"/>
      <c r="AC22" s="72"/>
      <c r="AD22" s="20">
        <v>5365</v>
      </c>
    </row>
    <row r="23" spans="1:30" x14ac:dyDescent="0.3">
      <c r="A23" s="28">
        <v>16262</v>
      </c>
      <c r="B23" s="5" t="s">
        <v>38</v>
      </c>
      <c r="C23" s="3">
        <v>186</v>
      </c>
      <c r="D23" s="3">
        <v>131</v>
      </c>
      <c r="E23" s="16">
        <f t="shared" si="2"/>
        <v>317</v>
      </c>
      <c r="F23" s="60"/>
      <c r="G23" s="29">
        <v>0</v>
      </c>
      <c r="H23" s="30">
        <v>0</v>
      </c>
      <c r="I23" s="30">
        <f t="shared" si="0"/>
        <v>317</v>
      </c>
      <c r="J23" s="30">
        <v>0</v>
      </c>
      <c r="K23" s="16">
        <f t="shared" si="1"/>
        <v>317</v>
      </c>
      <c r="L23" s="62"/>
      <c r="M23" s="27">
        <f>+E23*83.464275220685%</f>
        <v>264.58175244957141</v>
      </c>
      <c r="N23" s="27">
        <f>+E23*0.052376754940661%</f>
        <v>0.16603431316189537</v>
      </c>
      <c r="O23" s="27">
        <f>+E23*0.006387409139105%</f>
        <v>2.0248086970962854E-2</v>
      </c>
      <c r="P23" s="31">
        <f>+E23*16.4769606152352%</f>
        <v>52.231965150295586</v>
      </c>
      <c r="Q23" s="32">
        <f t="shared" si="3"/>
        <v>316.99999999999989</v>
      </c>
      <c r="T23" s="10">
        <v>15</v>
      </c>
      <c r="U23" s="5" t="s">
        <v>28</v>
      </c>
      <c r="V23" s="3">
        <v>183</v>
      </c>
      <c r="W23" s="3">
        <v>140</v>
      </c>
      <c r="X23" s="16">
        <f>+V23+W23</f>
        <v>323</v>
      </c>
      <c r="Z23" s="70"/>
      <c r="AA23" s="73" t="s">
        <v>75</v>
      </c>
      <c r="AB23" s="74"/>
      <c r="AC23" s="75"/>
      <c r="AD23" s="20">
        <v>62</v>
      </c>
    </row>
    <row r="24" spans="1:30" x14ac:dyDescent="0.3">
      <c r="A24" s="28">
        <v>16265</v>
      </c>
      <c r="B24" s="5" t="s">
        <v>20</v>
      </c>
      <c r="C24" s="3">
        <v>46</v>
      </c>
      <c r="D24" s="3">
        <v>18</v>
      </c>
      <c r="E24" s="16">
        <f t="shared" si="2"/>
        <v>64</v>
      </c>
      <c r="F24" s="60"/>
      <c r="G24" s="29">
        <v>0</v>
      </c>
      <c r="H24" s="30">
        <v>0</v>
      </c>
      <c r="I24" s="30">
        <f t="shared" si="0"/>
        <v>64</v>
      </c>
      <c r="J24" s="30">
        <v>0</v>
      </c>
      <c r="K24" s="16">
        <f t="shared" si="1"/>
        <v>64</v>
      </c>
      <c r="L24" s="62"/>
      <c r="M24" s="27">
        <f>+E24*82.5540442069468%</f>
        <v>52.83458829244595</v>
      </c>
      <c r="N24" s="27">
        <f>+E24*0.060723828030119%</f>
        <v>3.8863249939276159E-2</v>
      </c>
      <c r="O24" s="27">
        <f>+E24*0.0106266699052708%</f>
        <v>6.8010687393733112E-3</v>
      </c>
      <c r="P24" s="31">
        <f>+E24*17.3746052951178%</f>
        <v>11.119747388875391</v>
      </c>
      <c r="Q24" s="32">
        <f t="shared" si="3"/>
        <v>63.999999999999986</v>
      </c>
      <c r="T24" s="10">
        <v>16</v>
      </c>
      <c r="U24" s="5" t="s">
        <v>29</v>
      </c>
      <c r="V24" s="3">
        <v>189</v>
      </c>
      <c r="W24" s="3">
        <v>57</v>
      </c>
      <c r="X24" s="16">
        <f t="shared" ref="X24:X59" si="5">+V24+W24</f>
        <v>246</v>
      </c>
      <c r="Z24" s="70"/>
      <c r="AA24" s="72" t="s">
        <v>76</v>
      </c>
      <c r="AB24" s="72"/>
      <c r="AC24" s="72"/>
      <c r="AD24" s="20">
        <v>387</v>
      </c>
    </row>
    <row r="25" spans="1:30" x14ac:dyDescent="0.3">
      <c r="A25" s="28">
        <v>16266</v>
      </c>
      <c r="B25" s="5" t="s">
        <v>39</v>
      </c>
      <c r="C25" s="3">
        <v>17</v>
      </c>
      <c r="D25" s="3">
        <v>13</v>
      </c>
      <c r="E25" s="16">
        <f t="shared" si="2"/>
        <v>30</v>
      </c>
      <c r="F25" s="60"/>
      <c r="G25" s="29">
        <v>0</v>
      </c>
      <c r="H25" s="30">
        <v>0</v>
      </c>
      <c r="I25" s="30">
        <f t="shared" si="0"/>
        <v>30</v>
      </c>
      <c r="J25" s="30">
        <v>0</v>
      </c>
      <c r="K25" s="16">
        <f t="shared" si="1"/>
        <v>30</v>
      </c>
      <c r="L25" s="62"/>
      <c r="M25" s="27">
        <f>+E25*77.3459334472705%</f>
        <v>23.20378003418115</v>
      </c>
      <c r="N25" s="27">
        <f>+E25*0.0733889614959284%</f>
        <v>2.2016688448778517E-2</v>
      </c>
      <c r="O25" s="27">
        <f>+E25*0.0251332059917563%</f>
        <v>7.5399617975268896E-3</v>
      </c>
      <c r="P25" s="31">
        <f>+E25*22.5555443852418%</f>
        <v>6.76666331557254</v>
      </c>
      <c r="Q25" s="32">
        <f t="shared" si="3"/>
        <v>29.999999999999996</v>
      </c>
      <c r="T25" s="10">
        <v>17</v>
      </c>
      <c r="U25" s="5" t="s">
        <v>38</v>
      </c>
      <c r="V25" s="3">
        <v>186</v>
      </c>
      <c r="W25" s="3">
        <v>131</v>
      </c>
      <c r="X25" s="16">
        <f t="shared" si="5"/>
        <v>317</v>
      </c>
      <c r="Z25" s="70"/>
      <c r="AA25" s="73" t="s">
        <v>77</v>
      </c>
      <c r="AB25" s="74"/>
      <c r="AC25" s="75"/>
      <c r="AD25" s="20">
        <v>30327</v>
      </c>
    </row>
    <row r="26" spans="1:30" x14ac:dyDescent="0.3">
      <c r="A26" s="28">
        <v>16268</v>
      </c>
      <c r="B26" s="7" t="s">
        <v>22</v>
      </c>
      <c r="C26" s="3">
        <v>87</v>
      </c>
      <c r="D26" s="3">
        <v>33</v>
      </c>
      <c r="E26" s="16">
        <f t="shared" si="2"/>
        <v>120</v>
      </c>
      <c r="F26" s="60"/>
      <c r="G26" s="29">
        <v>0</v>
      </c>
      <c r="H26" s="30">
        <v>0</v>
      </c>
      <c r="I26" s="30">
        <f t="shared" si="0"/>
        <v>120</v>
      </c>
      <c r="J26" s="30">
        <v>0</v>
      </c>
      <c r="K26" s="16">
        <f t="shared" si="1"/>
        <v>120</v>
      </c>
      <c r="L26" s="62"/>
      <c r="M26" s="27">
        <f>+E26*2.50997139518956%</f>
        <v>3.0119656742274721</v>
      </c>
      <c r="N26" s="27">
        <f>+E26*0.128923089319528%</f>
        <v>0.1547077071834336</v>
      </c>
      <c r="O26" s="27">
        <f>+E26*0.0201442327061762%</f>
        <v>2.4173079247411439E-2</v>
      </c>
      <c r="P26" s="31">
        <f>+E26*97.3409612827847%</f>
        <v>116.80915353934164</v>
      </c>
      <c r="Q26" s="32">
        <f t="shared" si="3"/>
        <v>119.99999999999996</v>
      </c>
      <c r="T26" s="10">
        <v>18</v>
      </c>
      <c r="U26" s="5" t="s">
        <v>20</v>
      </c>
      <c r="V26" s="3">
        <v>46</v>
      </c>
      <c r="W26" s="3">
        <v>18</v>
      </c>
      <c r="X26" s="16">
        <f t="shared" si="5"/>
        <v>64</v>
      </c>
      <c r="Z26" s="71"/>
      <c r="AA26" s="72" t="s">
        <v>67</v>
      </c>
      <c r="AB26" s="72"/>
      <c r="AC26" s="72"/>
      <c r="AD26" s="21">
        <v>36141</v>
      </c>
    </row>
    <row r="27" spans="1:30" x14ac:dyDescent="0.3">
      <c r="A27" s="33">
        <v>16271</v>
      </c>
      <c r="B27" s="6" t="s">
        <v>40</v>
      </c>
      <c r="C27" s="3">
        <v>237</v>
      </c>
      <c r="D27" s="3">
        <v>82</v>
      </c>
      <c r="E27" s="16">
        <f t="shared" si="2"/>
        <v>319</v>
      </c>
      <c r="F27" s="60"/>
      <c r="G27" s="29">
        <v>0</v>
      </c>
      <c r="H27" s="30">
        <v>0</v>
      </c>
      <c r="I27" s="30">
        <f t="shared" si="0"/>
        <v>319</v>
      </c>
      <c r="J27" s="30">
        <v>0</v>
      </c>
      <c r="K27" s="16">
        <f t="shared" si="1"/>
        <v>319</v>
      </c>
      <c r="L27" s="62"/>
      <c r="M27" s="27">
        <f>+E27*3.68416385884022%</f>
        <v>11.752482709700301</v>
      </c>
      <c r="N27" s="27">
        <f>+E27*0.0922149317254832%</f>
        <v>0.29416563220429143</v>
      </c>
      <c r="O27" s="27">
        <f>+E27*0.0133002305373293%</f>
        <v>4.2427735414080472E-2</v>
      </c>
      <c r="P27" s="31">
        <f>+E27*96.210320978897%</f>
        <v>306.91092392268143</v>
      </c>
      <c r="Q27" s="32">
        <f t="shared" si="3"/>
        <v>319.00000000000011</v>
      </c>
      <c r="T27" s="10">
        <v>19</v>
      </c>
      <c r="U27" s="5" t="s">
        <v>39</v>
      </c>
      <c r="V27" s="3">
        <v>17</v>
      </c>
      <c r="W27" s="3">
        <v>13</v>
      </c>
      <c r="X27" s="16">
        <f t="shared" si="5"/>
        <v>30</v>
      </c>
    </row>
    <row r="28" spans="1:30" x14ac:dyDescent="0.3">
      <c r="A28" s="33">
        <v>16272</v>
      </c>
      <c r="B28" s="6" t="s">
        <v>11</v>
      </c>
      <c r="C28" s="3">
        <v>56</v>
      </c>
      <c r="D28" s="3">
        <v>113</v>
      </c>
      <c r="E28" s="17">
        <f t="shared" si="2"/>
        <v>169</v>
      </c>
      <c r="F28" s="60"/>
      <c r="G28" s="33">
        <v>0</v>
      </c>
      <c r="H28" s="34">
        <v>0</v>
      </c>
      <c r="I28" s="34">
        <f t="shared" si="0"/>
        <v>169</v>
      </c>
      <c r="J28" s="34">
        <v>0</v>
      </c>
      <c r="K28" s="17">
        <f t="shared" si="1"/>
        <v>169</v>
      </c>
      <c r="L28" s="62"/>
      <c r="M28" s="27">
        <f>+E28*2.45412123117097%</f>
        <v>4.1474648806789398</v>
      </c>
      <c r="N28" s="27">
        <f>+E28*0.166831886651031%</f>
        <v>0.28194588844024238</v>
      </c>
      <c r="O28" s="27">
        <f>+E28*3.90966899586547%</f>
        <v>6.6073406030126449</v>
      </c>
      <c r="P28" s="31">
        <f>+E28*93.4693778863125%</f>
        <v>157.96324862786813</v>
      </c>
      <c r="Q28" s="32">
        <f t="shared" si="3"/>
        <v>168.99999999999994</v>
      </c>
      <c r="T28" s="10">
        <v>20</v>
      </c>
      <c r="U28" s="7" t="s">
        <v>22</v>
      </c>
      <c r="V28" s="3">
        <v>87</v>
      </c>
      <c r="W28" s="3">
        <v>33</v>
      </c>
      <c r="X28" s="16">
        <f t="shared" si="5"/>
        <v>120</v>
      </c>
    </row>
    <row r="29" spans="1:30" x14ac:dyDescent="0.3">
      <c r="A29" s="33">
        <v>16277</v>
      </c>
      <c r="B29" s="6" t="s">
        <v>10</v>
      </c>
      <c r="C29" s="3">
        <v>58</v>
      </c>
      <c r="D29" s="3">
        <v>65</v>
      </c>
      <c r="E29" s="17">
        <f t="shared" si="2"/>
        <v>123</v>
      </c>
      <c r="F29" s="60"/>
      <c r="G29" s="33">
        <v>0</v>
      </c>
      <c r="H29" s="34">
        <v>0</v>
      </c>
      <c r="I29" s="34">
        <f t="shared" si="0"/>
        <v>123</v>
      </c>
      <c r="J29" s="34">
        <v>0</v>
      </c>
      <c r="K29" s="17">
        <f t="shared" si="1"/>
        <v>123</v>
      </c>
      <c r="L29" s="62"/>
      <c r="M29" s="27">
        <f>+E29*2.81419452261651%</f>
        <v>3.4614592628183076</v>
      </c>
      <c r="N29" s="27">
        <f>+E29*0.0943784748438465%</f>
        <v>0.1160855240579312</v>
      </c>
      <c r="O29" s="27">
        <f>+E29*0.847690301324731%</f>
        <v>1.0426590706294192</v>
      </c>
      <c r="P29" s="31">
        <f>+E29*96.2437367012149%</f>
        <v>118.37979614249433</v>
      </c>
      <c r="Q29" s="32">
        <f t="shared" si="3"/>
        <v>122.99999999999999</v>
      </c>
      <c r="T29" s="10">
        <v>21</v>
      </c>
      <c r="U29" s="6" t="s">
        <v>40</v>
      </c>
      <c r="V29" s="3">
        <v>237</v>
      </c>
      <c r="W29" s="3">
        <v>82</v>
      </c>
      <c r="X29" s="16">
        <f t="shared" si="5"/>
        <v>319</v>
      </c>
    </row>
    <row r="30" spans="1:30" x14ac:dyDescent="0.3">
      <c r="A30" s="28">
        <v>16278</v>
      </c>
      <c r="B30" s="5" t="s">
        <v>18</v>
      </c>
      <c r="C30" s="3">
        <v>39</v>
      </c>
      <c r="D30" s="3">
        <v>9</v>
      </c>
      <c r="E30" s="16">
        <f t="shared" si="2"/>
        <v>48</v>
      </c>
      <c r="F30" s="60"/>
      <c r="G30" s="29">
        <v>0</v>
      </c>
      <c r="H30" s="30">
        <v>0</v>
      </c>
      <c r="I30" s="30">
        <f t="shared" si="0"/>
        <v>48</v>
      </c>
      <c r="J30" s="30">
        <v>0</v>
      </c>
      <c r="K30" s="16">
        <f t="shared" si="1"/>
        <v>48</v>
      </c>
      <c r="L30" s="62"/>
      <c r="M30" s="27">
        <f>+E30*9.4034100655254%</f>
        <v>4.5136368314521924</v>
      </c>
      <c r="N30" s="27">
        <f>+E30*0.105206582272691%</f>
        <v>5.0499159490891683E-2</v>
      </c>
      <c r="O30" s="27">
        <f>+E30*0.00228709961462372%</f>
        <v>1.0978078150193857E-3</v>
      </c>
      <c r="P30" s="31">
        <f>+E30*90.4890962525873%</f>
        <v>43.434766201241899</v>
      </c>
      <c r="Q30" s="32">
        <f t="shared" si="3"/>
        <v>48</v>
      </c>
      <c r="T30" s="10">
        <v>22</v>
      </c>
      <c r="U30" s="6" t="s">
        <v>11</v>
      </c>
      <c r="V30" s="3">
        <v>56</v>
      </c>
      <c r="W30" s="3">
        <v>113</v>
      </c>
      <c r="X30" s="17">
        <f t="shared" si="5"/>
        <v>169</v>
      </c>
    </row>
    <row r="31" spans="1:30" x14ac:dyDescent="0.3">
      <c r="A31" s="28">
        <v>16281</v>
      </c>
      <c r="B31" s="5" t="s">
        <v>41</v>
      </c>
      <c r="C31" s="3">
        <v>0</v>
      </c>
      <c r="D31" s="3">
        <v>0</v>
      </c>
      <c r="E31" s="16">
        <f t="shared" si="2"/>
        <v>0</v>
      </c>
      <c r="F31" s="60"/>
      <c r="G31" s="29">
        <v>0</v>
      </c>
      <c r="H31" s="30">
        <v>0</v>
      </c>
      <c r="I31" s="30">
        <f t="shared" si="0"/>
        <v>0</v>
      </c>
      <c r="J31" s="30">
        <v>0</v>
      </c>
      <c r="K31" s="16">
        <f t="shared" si="1"/>
        <v>0</v>
      </c>
      <c r="L31" s="62"/>
      <c r="M31" s="27">
        <f>+E31*9.4034100655254%</f>
        <v>0</v>
      </c>
      <c r="N31" s="27">
        <f>+E31*0.105206582272691%</f>
        <v>0</v>
      </c>
      <c r="O31" s="27">
        <f>+E31*0.00228709961462372%</f>
        <v>0</v>
      </c>
      <c r="P31" s="31">
        <f>+E31*0%</f>
        <v>0</v>
      </c>
      <c r="Q31" s="32">
        <f t="shared" si="3"/>
        <v>0</v>
      </c>
      <c r="T31" s="10">
        <v>23</v>
      </c>
      <c r="U31" s="6" t="s">
        <v>10</v>
      </c>
      <c r="V31" s="3">
        <v>58</v>
      </c>
      <c r="W31" s="3">
        <v>65</v>
      </c>
      <c r="X31" s="17">
        <f t="shared" si="5"/>
        <v>123</v>
      </c>
    </row>
    <row r="32" spans="1:30" x14ac:dyDescent="0.3">
      <c r="A32" s="28">
        <v>16283</v>
      </c>
      <c r="B32" s="5" t="s">
        <v>42</v>
      </c>
      <c r="C32" s="3">
        <v>152</v>
      </c>
      <c r="D32" s="3">
        <v>70</v>
      </c>
      <c r="E32" s="16">
        <f t="shared" si="2"/>
        <v>222</v>
      </c>
      <c r="F32" s="60"/>
      <c r="G32" s="29">
        <v>0</v>
      </c>
      <c r="H32" s="30">
        <v>0</v>
      </c>
      <c r="I32" s="30">
        <f t="shared" si="0"/>
        <v>222</v>
      </c>
      <c r="J32" s="30">
        <v>0</v>
      </c>
      <c r="K32" s="16">
        <f t="shared" si="1"/>
        <v>222</v>
      </c>
      <c r="L32" s="62"/>
      <c r="M32" s="27">
        <f>+E32*97.6900251084227%</f>
        <v>216.87185574069841</v>
      </c>
      <c r="N32" s="27">
        <f>+E32*0.0890207715133531%</f>
        <v>0.19762611275964387</v>
      </c>
      <c r="O32" s="27">
        <f>+E32*0%</f>
        <v>0</v>
      </c>
      <c r="P32" s="31">
        <f>+E32*2.22095412006391%</f>
        <v>4.9305181465418801</v>
      </c>
      <c r="Q32" s="32">
        <f t="shared" si="3"/>
        <v>221.99999999999994</v>
      </c>
      <c r="T32" s="10">
        <v>24</v>
      </c>
      <c r="U32" s="5" t="s">
        <v>18</v>
      </c>
      <c r="V32" s="3">
        <v>39</v>
      </c>
      <c r="W32" s="3">
        <v>9</v>
      </c>
      <c r="X32" s="16">
        <f t="shared" si="5"/>
        <v>48</v>
      </c>
    </row>
    <row r="33" spans="1:24" x14ac:dyDescent="0.3">
      <c r="A33" s="28">
        <v>16287</v>
      </c>
      <c r="B33" s="5" t="s">
        <v>43</v>
      </c>
      <c r="C33" s="3">
        <v>326</v>
      </c>
      <c r="D33" s="3">
        <v>180</v>
      </c>
      <c r="E33" s="16">
        <f t="shared" si="2"/>
        <v>506</v>
      </c>
      <c r="F33" s="60"/>
      <c r="G33" s="29">
        <v>0</v>
      </c>
      <c r="H33" s="30">
        <v>0</v>
      </c>
      <c r="I33" s="30">
        <f t="shared" si="0"/>
        <v>506</v>
      </c>
      <c r="J33" s="30">
        <v>0</v>
      </c>
      <c r="K33" s="16">
        <f t="shared" si="1"/>
        <v>506</v>
      </c>
      <c r="L33" s="62"/>
      <c r="M33" s="27">
        <f>+E33*85.3700905277727%</f>
        <v>431.97265807052986</v>
      </c>
      <c r="N33" s="27">
        <f>+E33*0.145465843772508%</f>
        <v>0.73605716948889055</v>
      </c>
      <c r="O33" s="27">
        <f>+E33*0.0211843461804624%</f>
        <v>0.10719279167313976</v>
      </c>
      <c r="P33" s="31">
        <f>+E33*14.4632592822744%</f>
        <v>73.184091968308465</v>
      </c>
      <c r="Q33" s="32">
        <f t="shared" si="3"/>
        <v>506.00000000000034</v>
      </c>
      <c r="T33" s="10">
        <v>25</v>
      </c>
      <c r="U33" s="5" t="s">
        <v>41</v>
      </c>
      <c r="V33" s="3">
        <v>0</v>
      </c>
      <c r="W33" s="3">
        <v>0</v>
      </c>
      <c r="X33" s="16">
        <f t="shared" si="5"/>
        <v>0</v>
      </c>
    </row>
    <row r="34" spans="1:24" x14ac:dyDescent="0.3">
      <c r="A34" s="28">
        <v>16288</v>
      </c>
      <c r="B34" s="7" t="s">
        <v>24</v>
      </c>
      <c r="C34" s="3">
        <v>127</v>
      </c>
      <c r="D34" s="3">
        <v>73</v>
      </c>
      <c r="E34" s="16">
        <f t="shared" si="2"/>
        <v>200</v>
      </c>
      <c r="F34" s="60"/>
      <c r="G34" s="29">
        <v>0</v>
      </c>
      <c r="H34" s="30">
        <v>0</v>
      </c>
      <c r="I34" s="30">
        <f t="shared" si="0"/>
        <v>200</v>
      </c>
      <c r="J34" s="30">
        <v>0</v>
      </c>
      <c r="K34" s="16">
        <f t="shared" si="1"/>
        <v>200</v>
      </c>
      <c r="L34" s="62"/>
      <c r="M34" s="27">
        <f>+E34*5.72107403099619%</f>
        <v>11.442148061992381</v>
      </c>
      <c r="N34" s="27">
        <f>+E34*1.14123249132643%</f>
        <v>2.28246498265286</v>
      </c>
      <c r="O34" s="27">
        <f>+E34*0.077540186692911%</f>
        <v>0.15508037338582201</v>
      </c>
      <c r="P34" s="31">
        <f>+E34*93.0601532909845%</f>
        <v>186.120306581969</v>
      </c>
      <c r="Q34" s="32">
        <f t="shared" si="3"/>
        <v>200.00000000000006</v>
      </c>
      <c r="T34" s="10">
        <v>26</v>
      </c>
      <c r="U34" s="5" t="s">
        <v>42</v>
      </c>
      <c r="V34" s="3">
        <v>152</v>
      </c>
      <c r="W34" s="3">
        <v>70</v>
      </c>
      <c r="X34" s="16">
        <f t="shared" si="5"/>
        <v>222</v>
      </c>
    </row>
    <row r="35" spans="1:24" x14ac:dyDescent="0.3">
      <c r="A35" s="28">
        <v>16289</v>
      </c>
      <c r="B35" s="7" t="s">
        <v>23</v>
      </c>
      <c r="C35" s="3">
        <v>50</v>
      </c>
      <c r="D35" s="3">
        <v>35</v>
      </c>
      <c r="E35" s="16">
        <f t="shared" si="2"/>
        <v>85</v>
      </c>
      <c r="F35" s="60"/>
      <c r="G35" s="29">
        <v>0</v>
      </c>
      <c r="H35" s="30">
        <v>0</v>
      </c>
      <c r="I35" s="30">
        <f t="shared" si="0"/>
        <v>85</v>
      </c>
      <c r="J35" s="30">
        <v>0</v>
      </c>
      <c r="K35" s="16">
        <f t="shared" si="1"/>
        <v>85</v>
      </c>
      <c r="L35" s="62"/>
      <c r="M35" s="27">
        <f>+E35*2.37841392572812%</f>
        <v>2.021651836868902</v>
      </c>
      <c r="N35" s="27">
        <f>+E35*0.0807086418030908%</f>
        <v>6.8602345532627174E-2</v>
      </c>
      <c r="O35" s="27">
        <f>+E35*0.00896762686701009%</f>
        <v>7.6224828369585761E-3</v>
      </c>
      <c r="P35" s="31">
        <f>+E35*97.5319098056018%</f>
        <v>82.902123334761527</v>
      </c>
      <c r="Q35" s="32">
        <f t="shared" si="3"/>
        <v>85.000000000000014</v>
      </c>
      <c r="T35" s="10">
        <v>27</v>
      </c>
      <c r="U35" s="5" t="s">
        <v>43</v>
      </c>
      <c r="V35" s="3">
        <v>326</v>
      </c>
      <c r="W35" s="3">
        <v>180</v>
      </c>
      <c r="X35" s="16">
        <f t="shared" si="5"/>
        <v>506</v>
      </c>
    </row>
    <row r="36" spans="1:24" x14ac:dyDescent="0.3">
      <c r="A36" s="28">
        <v>16293</v>
      </c>
      <c r="B36" s="7" t="s">
        <v>21</v>
      </c>
      <c r="C36" s="3">
        <v>144</v>
      </c>
      <c r="D36" s="3">
        <v>81</v>
      </c>
      <c r="E36" s="17">
        <f t="shared" si="2"/>
        <v>225</v>
      </c>
      <c r="F36" s="60"/>
      <c r="G36" s="29">
        <v>0</v>
      </c>
      <c r="H36" s="30">
        <v>0</v>
      </c>
      <c r="I36" s="30">
        <f t="shared" si="0"/>
        <v>225</v>
      </c>
      <c r="J36" s="30">
        <v>0</v>
      </c>
      <c r="K36" s="16">
        <f t="shared" si="1"/>
        <v>225</v>
      </c>
      <c r="L36" s="62"/>
      <c r="M36" s="27">
        <f>+E36*0.841217882606161%</f>
        <v>1.8927402358638625</v>
      </c>
      <c r="N36" s="35">
        <f>+E36*0.189229182547868%</f>
        <v>0.425765660732703</v>
      </c>
      <c r="O36" s="27">
        <f>+E36*0.0107618492444285%</f>
        <v>2.4214160799964125E-2</v>
      </c>
      <c r="P36" s="31">
        <f>+E36*98.9587910856015%</f>
        <v>222.6572799426034</v>
      </c>
      <c r="Q36" s="32">
        <f t="shared" si="3"/>
        <v>224.99999999999991</v>
      </c>
      <c r="T36" s="10">
        <v>28</v>
      </c>
      <c r="U36" s="7" t="s">
        <v>24</v>
      </c>
      <c r="V36" s="3">
        <v>127</v>
      </c>
      <c r="W36" s="3">
        <v>73</v>
      </c>
      <c r="X36" s="16">
        <f t="shared" si="5"/>
        <v>200</v>
      </c>
    </row>
    <row r="37" spans="1:24" x14ac:dyDescent="0.3">
      <c r="A37" s="33">
        <v>16294</v>
      </c>
      <c r="B37" s="6" t="s">
        <v>14</v>
      </c>
      <c r="C37" s="3">
        <v>156</v>
      </c>
      <c r="D37" s="3">
        <v>85</v>
      </c>
      <c r="E37" s="16">
        <f t="shared" si="2"/>
        <v>241</v>
      </c>
      <c r="F37" s="60"/>
      <c r="G37" s="33">
        <v>0</v>
      </c>
      <c r="H37" s="34">
        <v>0</v>
      </c>
      <c r="I37" s="34">
        <f t="shared" si="0"/>
        <v>241</v>
      </c>
      <c r="J37" s="34">
        <v>0</v>
      </c>
      <c r="K37" s="17">
        <f t="shared" si="1"/>
        <v>241</v>
      </c>
      <c r="L37" s="62"/>
      <c r="M37" s="27">
        <f>+E37*1.06418918918919%</f>
        <v>2.5646959459459477</v>
      </c>
      <c r="N37" s="27">
        <f>+E37*0.298423423423423%</f>
        <v>0.71920045045044934</v>
      </c>
      <c r="O37" s="27">
        <f>+E37*48.9032782782783%</f>
        <v>117.8569006506507</v>
      </c>
      <c r="P37" s="31">
        <f>+E37*49.7341091091091%</f>
        <v>119.85920295295293</v>
      </c>
      <c r="Q37" s="32">
        <f t="shared" si="3"/>
        <v>241.00000000000003</v>
      </c>
      <c r="T37" s="10">
        <v>29</v>
      </c>
      <c r="U37" s="7" t="s">
        <v>23</v>
      </c>
      <c r="V37" s="3">
        <v>50</v>
      </c>
      <c r="W37" s="3">
        <v>35</v>
      </c>
      <c r="X37" s="16">
        <f t="shared" si="5"/>
        <v>85</v>
      </c>
    </row>
    <row r="38" spans="1:24" x14ac:dyDescent="0.3">
      <c r="A38" s="33">
        <v>17434</v>
      </c>
      <c r="B38" s="6" t="s">
        <v>55</v>
      </c>
      <c r="C38" s="3">
        <v>113</v>
      </c>
      <c r="D38" s="3">
        <v>63</v>
      </c>
      <c r="E38" s="17">
        <f t="shared" si="2"/>
        <v>176</v>
      </c>
      <c r="F38" s="60"/>
      <c r="G38" s="29">
        <v>0</v>
      </c>
      <c r="H38" s="30">
        <v>0</v>
      </c>
      <c r="I38" s="30">
        <f t="shared" si="0"/>
        <v>176</v>
      </c>
      <c r="J38" s="30">
        <v>0</v>
      </c>
      <c r="K38" s="16">
        <f t="shared" si="1"/>
        <v>176</v>
      </c>
      <c r="L38" s="62"/>
      <c r="M38" s="27">
        <f>+E38*63.240066741231%</f>
        <v>111.30251746456655</v>
      </c>
      <c r="N38" s="27">
        <f>+E38*0.118263994572691%</f>
        <v>0.20814463044793619</v>
      </c>
      <c r="O38" s="27">
        <f>+E38*0.0848017015346816%</f>
        <v>0.14925099470103961</v>
      </c>
      <c r="P38" s="31">
        <f>+E38*36.5568675626616%</f>
        <v>64.340086910284413</v>
      </c>
      <c r="Q38" s="32">
        <f t="shared" si="3"/>
        <v>175.99999999999994</v>
      </c>
      <c r="T38" s="10">
        <v>30</v>
      </c>
      <c r="U38" s="7" t="s">
        <v>21</v>
      </c>
      <c r="V38" s="3">
        <v>144</v>
      </c>
      <c r="W38" s="3">
        <v>81</v>
      </c>
      <c r="X38" s="17">
        <f t="shared" si="5"/>
        <v>225</v>
      </c>
    </row>
    <row r="39" spans="1:24" x14ac:dyDescent="0.3">
      <c r="A39" s="33">
        <v>17435</v>
      </c>
      <c r="B39" s="6" t="s">
        <v>12</v>
      </c>
      <c r="C39" s="3">
        <v>27</v>
      </c>
      <c r="D39" s="3">
        <v>7</v>
      </c>
      <c r="E39" s="16">
        <f t="shared" si="2"/>
        <v>34</v>
      </c>
      <c r="F39" s="60"/>
      <c r="G39" s="33">
        <v>0</v>
      </c>
      <c r="H39" s="34">
        <v>0</v>
      </c>
      <c r="I39" s="34">
        <f t="shared" si="0"/>
        <v>34</v>
      </c>
      <c r="J39" s="34">
        <v>0</v>
      </c>
      <c r="K39" s="17">
        <f t="shared" si="1"/>
        <v>34</v>
      </c>
      <c r="L39" s="62"/>
      <c r="M39" s="27">
        <f>+E39*2.39754210786196%</f>
        <v>0.81516431667306632</v>
      </c>
      <c r="N39" s="27">
        <f>+E39*0.153618258627311%</f>
        <v>5.2230207933285734E-2</v>
      </c>
      <c r="O39" s="27">
        <f>+E39*46.7630438360674%</f>
        <v>15.899434904262916</v>
      </c>
      <c r="P39" s="31">
        <f>+E39*50.6857957974434%</f>
        <v>17.233170571130756</v>
      </c>
      <c r="Q39" s="32">
        <f t="shared" si="3"/>
        <v>34.000000000000028</v>
      </c>
      <c r="T39" s="10">
        <v>31</v>
      </c>
      <c r="U39" s="6" t="s">
        <v>14</v>
      </c>
      <c r="V39" s="3">
        <v>156</v>
      </c>
      <c r="W39" s="3">
        <v>85</v>
      </c>
      <c r="X39" s="16">
        <f t="shared" si="5"/>
        <v>241</v>
      </c>
    </row>
    <row r="40" spans="1:24" x14ac:dyDescent="0.3">
      <c r="A40" s="33">
        <v>17436</v>
      </c>
      <c r="B40" s="6" t="s">
        <v>44</v>
      </c>
      <c r="C40" s="3">
        <v>142</v>
      </c>
      <c r="D40" s="3">
        <v>68</v>
      </c>
      <c r="E40" s="16">
        <f t="shared" si="2"/>
        <v>210</v>
      </c>
      <c r="F40" s="60"/>
      <c r="G40" s="29">
        <v>0</v>
      </c>
      <c r="H40" s="30">
        <v>0</v>
      </c>
      <c r="I40" s="30">
        <f t="shared" si="0"/>
        <v>210</v>
      </c>
      <c r="J40" s="30">
        <v>0</v>
      </c>
      <c r="K40" s="16">
        <f t="shared" si="1"/>
        <v>210</v>
      </c>
      <c r="L40" s="62"/>
      <c r="M40" s="27">
        <f>+E40*3.56521664624585%</f>
        <v>7.4869549571162857</v>
      </c>
      <c r="N40" s="27">
        <f>+E40*0.0925362647908081%</f>
        <v>0.194326156060697</v>
      </c>
      <c r="O40" s="27">
        <f>+E40*0.0805408230586663%</f>
        <v>0.16913572842319924</v>
      </c>
      <c r="P40" s="31">
        <f>+E40*96.2617062659047%</f>
        <v>202.14958315839991</v>
      </c>
      <c r="Q40" s="32">
        <f t="shared" si="3"/>
        <v>210.00000000000009</v>
      </c>
      <c r="T40" s="10">
        <v>32</v>
      </c>
      <c r="U40" s="6" t="s">
        <v>55</v>
      </c>
      <c r="V40" s="3">
        <v>113</v>
      </c>
      <c r="W40" s="3">
        <v>63</v>
      </c>
      <c r="X40" s="17">
        <f t="shared" si="5"/>
        <v>176</v>
      </c>
    </row>
    <row r="41" spans="1:24" x14ac:dyDescent="0.3">
      <c r="A41" s="28">
        <v>17437</v>
      </c>
      <c r="B41" s="7" t="s">
        <v>45</v>
      </c>
      <c r="C41" s="3">
        <v>15</v>
      </c>
      <c r="D41" s="3">
        <v>6</v>
      </c>
      <c r="E41" s="17">
        <f t="shared" si="2"/>
        <v>21</v>
      </c>
      <c r="F41" s="60"/>
      <c r="G41" s="29">
        <v>0</v>
      </c>
      <c r="H41" s="30">
        <v>0</v>
      </c>
      <c r="I41" s="30">
        <f t="shared" si="0"/>
        <v>21</v>
      </c>
      <c r="J41" s="30">
        <v>0</v>
      </c>
      <c r="K41" s="16">
        <f t="shared" si="1"/>
        <v>21</v>
      </c>
      <c r="L41" s="62"/>
      <c r="M41" s="27">
        <f>+E41*1.62031716846702%</f>
        <v>0.34026660537807418</v>
      </c>
      <c r="N41" s="27">
        <f>+E41*0.0705913254752602%</f>
        <v>1.4824178349804642E-2</v>
      </c>
      <c r="O41" s="27">
        <f>+E41*0.00820829365991398%</f>
        <v>1.7237416685819359E-3</v>
      </c>
      <c r="P41" s="31">
        <f>+E41*98.3008832123978%</f>
        <v>20.643185474603538</v>
      </c>
      <c r="Q41" s="32">
        <f t="shared" si="3"/>
        <v>21</v>
      </c>
      <c r="T41" s="10">
        <v>33</v>
      </c>
      <c r="U41" s="6" t="s">
        <v>12</v>
      </c>
      <c r="V41" s="3">
        <v>27</v>
      </c>
      <c r="W41" s="3">
        <v>7</v>
      </c>
      <c r="X41" s="16">
        <f t="shared" si="5"/>
        <v>34</v>
      </c>
    </row>
    <row r="42" spans="1:24" x14ac:dyDescent="0.3">
      <c r="A42" s="28">
        <v>17442</v>
      </c>
      <c r="B42" s="7" t="s">
        <v>46</v>
      </c>
      <c r="C42" s="3">
        <v>0</v>
      </c>
      <c r="D42" s="3">
        <v>0</v>
      </c>
      <c r="E42" s="16">
        <f t="shared" si="2"/>
        <v>0</v>
      </c>
      <c r="F42" s="60"/>
      <c r="G42" s="29">
        <v>0</v>
      </c>
      <c r="H42" s="30">
        <v>0</v>
      </c>
      <c r="I42" s="30">
        <f t="shared" si="0"/>
        <v>0</v>
      </c>
      <c r="J42" s="30">
        <v>0</v>
      </c>
      <c r="K42" s="16">
        <f t="shared" si="1"/>
        <v>0</v>
      </c>
      <c r="L42" s="62"/>
      <c r="M42" s="27">
        <f>+E42*0.00841217882606161</f>
        <v>0</v>
      </c>
      <c r="N42" s="27">
        <f>+E42*0.189229182547868%</f>
        <v>0</v>
      </c>
      <c r="O42" s="27">
        <f>+E42*0.0107618492444285%</f>
        <v>0</v>
      </c>
      <c r="P42" s="31">
        <f>+E42*0%</f>
        <v>0</v>
      </c>
      <c r="Q42" s="32">
        <f t="shared" si="3"/>
        <v>0</v>
      </c>
      <c r="T42" s="10">
        <v>34</v>
      </c>
      <c r="U42" s="6" t="s">
        <v>44</v>
      </c>
      <c r="V42" s="3">
        <v>142</v>
      </c>
      <c r="W42" s="3">
        <v>68</v>
      </c>
      <c r="X42" s="16">
        <f t="shared" si="5"/>
        <v>210</v>
      </c>
    </row>
    <row r="43" spans="1:24" x14ac:dyDescent="0.3">
      <c r="A43" s="33">
        <v>17675</v>
      </c>
      <c r="B43" s="6" t="s">
        <v>13</v>
      </c>
      <c r="C43" s="3">
        <v>10</v>
      </c>
      <c r="D43" s="3">
        <v>7</v>
      </c>
      <c r="E43" s="16">
        <f t="shared" si="2"/>
        <v>17</v>
      </c>
      <c r="F43" s="60"/>
      <c r="G43" s="33">
        <v>0</v>
      </c>
      <c r="H43" s="34">
        <v>0</v>
      </c>
      <c r="I43" s="34">
        <f t="shared" si="0"/>
        <v>17</v>
      </c>
      <c r="J43" s="34">
        <v>0</v>
      </c>
      <c r="K43" s="17">
        <f t="shared" si="1"/>
        <v>17</v>
      </c>
      <c r="L43" s="62"/>
      <c r="M43" s="27">
        <f>+E43*1.7744525833366%</f>
        <v>0.30165693916722203</v>
      </c>
      <c r="N43" s="27">
        <f>+E43*0.129264757726507%</f>
        <v>2.197500881350619E-2</v>
      </c>
      <c r="O43" s="27">
        <f>+E43*0.795174115711544%</f>
        <v>0.13517959967096246</v>
      </c>
      <c r="P43" s="31">
        <f>+E43*97.3011085432254%</f>
        <v>16.541188452348319</v>
      </c>
      <c r="Q43" s="32">
        <f t="shared" si="3"/>
        <v>17.000000000000011</v>
      </c>
      <c r="T43" s="10">
        <v>35</v>
      </c>
      <c r="U43" s="7" t="s">
        <v>45</v>
      </c>
      <c r="V43" s="3">
        <v>15</v>
      </c>
      <c r="W43" s="3">
        <v>6</v>
      </c>
      <c r="X43" s="17">
        <f t="shared" si="5"/>
        <v>21</v>
      </c>
    </row>
    <row r="44" spans="1:24" x14ac:dyDescent="0.3">
      <c r="A44" s="28">
        <v>17676</v>
      </c>
      <c r="B44" s="5" t="s">
        <v>47</v>
      </c>
      <c r="C44" s="3">
        <v>65</v>
      </c>
      <c r="D44" s="3">
        <v>29</v>
      </c>
      <c r="E44" s="16">
        <f t="shared" si="2"/>
        <v>94</v>
      </c>
      <c r="F44" s="60"/>
      <c r="G44" s="29">
        <v>0</v>
      </c>
      <c r="H44" s="30">
        <v>0</v>
      </c>
      <c r="I44" s="30">
        <f t="shared" si="0"/>
        <v>94</v>
      </c>
      <c r="J44" s="30">
        <v>0</v>
      </c>
      <c r="K44" s="16">
        <f t="shared" si="1"/>
        <v>94</v>
      </c>
      <c r="L44" s="62"/>
      <c r="M44" s="27">
        <f>+E44*99.6515679442509%</f>
        <v>93.672473867595841</v>
      </c>
      <c r="N44" s="27">
        <f>+E44*0.0605968792607181%</f>
        <v>5.6961066505075014E-2</v>
      </c>
      <c r="O44" s="27">
        <f>+E44*0.0151492198151795%</f>
        <v>1.4240266626268729E-2</v>
      </c>
      <c r="P44" s="31">
        <f>+E44*0.272685956673231%</f>
        <v>0.25632479927283713</v>
      </c>
      <c r="Q44" s="32">
        <f t="shared" si="3"/>
        <v>94.000000000000028</v>
      </c>
      <c r="T44" s="10">
        <v>36</v>
      </c>
      <c r="U44" s="7" t="s">
        <v>46</v>
      </c>
      <c r="V44" s="3">
        <v>0</v>
      </c>
      <c r="W44" s="3">
        <v>0</v>
      </c>
      <c r="X44" s="16">
        <f t="shared" si="5"/>
        <v>0</v>
      </c>
    </row>
    <row r="45" spans="1:24" x14ac:dyDescent="0.3">
      <c r="A45" s="28">
        <v>17677</v>
      </c>
      <c r="B45" s="7" t="s">
        <v>56</v>
      </c>
      <c r="C45" s="3">
        <v>96</v>
      </c>
      <c r="D45" s="3">
        <v>45</v>
      </c>
      <c r="E45" s="16">
        <f t="shared" si="2"/>
        <v>141</v>
      </c>
      <c r="F45" s="60"/>
      <c r="G45" s="29">
        <v>0</v>
      </c>
      <c r="H45" s="30">
        <v>0</v>
      </c>
      <c r="I45" s="30">
        <f t="shared" si="0"/>
        <v>141</v>
      </c>
      <c r="J45" s="30">
        <v>0</v>
      </c>
      <c r="K45" s="16">
        <f t="shared" si="1"/>
        <v>141</v>
      </c>
      <c r="L45" s="62"/>
      <c r="M45" s="27">
        <f>+E45*6.8032884546646%</f>
        <v>9.5926367210770866</v>
      </c>
      <c r="N45" s="27">
        <f>+E45*0.113189562730847%</f>
        <v>0.15959728345049429</v>
      </c>
      <c r="O45" s="27">
        <f>+E45*0.0208507089241034%</f>
        <v>2.9399499582985794E-2</v>
      </c>
      <c r="P45" s="31">
        <f>+E45*93.0626712736804%</f>
        <v>131.21836649588937</v>
      </c>
      <c r="Q45" s="32">
        <f t="shared" si="3"/>
        <v>140.99999999999994</v>
      </c>
      <c r="T45" s="10">
        <v>37</v>
      </c>
      <c r="U45" s="6" t="s">
        <v>13</v>
      </c>
      <c r="V45" s="3">
        <v>10</v>
      </c>
      <c r="W45" s="3">
        <v>7</v>
      </c>
      <c r="X45" s="16">
        <f t="shared" si="5"/>
        <v>17</v>
      </c>
    </row>
    <row r="46" spans="1:24" x14ac:dyDescent="0.3">
      <c r="A46" s="28">
        <v>17678</v>
      </c>
      <c r="B46" s="7" t="s">
        <v>57</v>
      </c>
      <c r="C46" s="3">
        <v>87</v>
      </c>
      <c r="D46" s="3">
        <v>33</v>
      </c>
      <c r="E46" s="16">
        <f t="shared" si="2"/>
        <v>120</v>
      </c>
      <c r="F46" s="60"/>
      <c r="G46" s="29">
        <v>0</v>
      </c>
      <c r="H46" s="30">
        <v>0</v>
      </c>
      <c r="I46" s="30">
        <f t="shared" si="0"/>
        <v>120</v>
      </c>
      <c r="J46" s="30">
        <v>0</v>
      </c>
      <c r="K46" s="16">
        <f t="shared" si="1"/>
        <v>120</v>
      </c>
      <c r="L46" s="62"/>
      <c r="M46" s="27">
        <f>+E46*0.882930019620667%</f>
        <v>1.0595160235448002</v>
      </c>
      <c r="N46" s="27">
        <f>+E46*0.13080444735121%</f>
        <v>0.156965336821452</v>
      </c>
      <c r="O46" s="27">
        <f>+E46*0.0490516677567037%</f>
        <v>5.8862001308044434E-2</v>
      </c>
      <c r="P46" s="31">
        <f>+E46*98.9372138652714%</f>
        <v>118.72465663832568</v>
      </c>
      <c r="Q46" s="32">
        <f t="shared" si="3"/>
        <v>119.99999999999999</v>
      </c>
      <c r="T46" s="10">
        <v>38</v>
      </c>
      <c r="U46" s="5" t="s">
        <v>47</v>
      </c>
      <c r="V46" s="3">
        <v>65</v>
      </c>
      <c r="W46" s="3">
        <v>29</v>
      </c>
      <c r="X46" s="16">
        <f t="shared" si="5"/>
        <v>94</v>
      </c>
    </row>
    <row r="47" spans="1:24" x14ac:dyDescent="0.3">
      <c r="A47" s="28">
        <v>17701</v>
      </c>
      <c r="B47" s="7" t="s">
        <v>58</v>
      </c>
      <c r="C47" s="3">
        <v>47</v>
      </c>
      <c r="D47" s="3">
        <v>53</v>
      </c>
      <c r="E47" s="16">
        <f t="shared" si="2"/>
        <v>100</v>
      </c>
      <c r="F47" s="60"/>
      <c r="G47" s="29">
        <v>0</v>
      </c>
      <c r="H47" s="30">
        <v>0</v>
      </c>
      <c r="I47" s="30">
        <f t="shared" si="0"/>
        <v>100</v>
      </c>
      <c r="J47" s="30">
        <v>0</v>
      </c>
      <c r="K47" s="16">
        <f t="shared" si="1"/>
        <v>100</v>
      </c>
      <c r="L47" s="62"/>
      <c r="M47" s="27">
        <f>+E47*0.384845634140084%</f>
        <v>0.38484563414008399</v>
      </c>
      <c r="N47" s="27">
        <f>+E47*0.102625502437356%</f>
        <v>0.10262550243735601</v>
      </c>
      <c r="O47" s="27">
        <f>+E47*0.0171042504062259%</f>
        <v>1.7104250406225902E-2</v>
      </c>
      <c r="P47" s="31">
        <f>+E47*99.4954246130163%</f>
        <v>99.495424613016297</v>
      </c>
      <c r="Q47" s="32">
        <f t="shared" si="3"/>
        <v>99.999999999999957</v>
      </c>
      <c r="T47" s="10">
        <v>39</v>
      </c>
      <c r="U47" s="7" t="s">
        <v>56</v>
      </c>
      <c r="V47" s="3">
        <v>96</v>
      </c>
      <c r="W47" s="3">
        <v>45</v>
      </c>
      <c r="X47" s="16">
        <f t="shared" si="5"/>
        <v>141</v>
      </c>
    </row>
    <row r="48" spans="1:24" x14ac:dyDescent="0.3">
      <c r="A48" s="28">
        <v>17708</v>
      </c>
      <c r="B48" s="7" t="s">
        <v>32</v>
      </c>
      <c r="C48" s="3">
        <v>38</v>
      </c>
      <c r="D48" s="3">
        <v>26</v>
      </c>
      <c r="E48" s="16">
        <f t="shared" si="2"/>
        <v>64</v>
      </c>
      <c r="F48" s="60"/>
      <c r="G48" s="29">
        <v>0</v>
      </c>
      <c r="H48" s="30">
        <v>0</v>
      </c>
      <c r="I48" s="30">
        <f t="shared" si="0"/>
        <v>64</v>
      </c>
      <c r="J48" s="30">
        <v>0</v>
      </c>
      <c r="K48" s="16">
        <f t="shared" si="1"/>
        <v>64</v>
      </c>
      <c r="L48" s="62"/>
      <c r="M48" s="27">
        <f>+E48*53.3214499537365%</f>
        <v>34.12572797039136</v>
      </c>
      <c r="N48" s="27">
        <f>+E48*2.27915963642301%</f>
        <v>1.4586621673107263</v>
      </c>
      <c r="O48" s="27">
        <f>+E48*0.00816415392151527%</f>
        <v>5.2250585097697736E-3</v>
      </c>
      <c r="P48" s="31">
        <f>+E48*44.391226255919%</f>
        <v>28.410384803788162</v>
      </c>
      <c r="Q48" s="32">
        <f t="shared" si="3"/>
        <v>64.000000000000028</v>
      </c>
      <c r="T48" s="10">
        <v>40</v>
      </c>
      <c r="U48" s="7" t="s">
        <v>57</v>
      </c>
      <c r="V48" s="3">
        <v>87</v>
      </c>
      <c r="W48" s="3">
        <v>33</v>
      </c>
      <c r="X48" s="16">
        <f t="shared" si="5"/>
        <v>120</v>
      </c>
    </row>
    <row r="49" spans="1:24" x14ac:dyDescent="0.3">
      <c r="A49" s="33">
        <v>17786</v>
      </c>
      <c r="B49" s="6" t="s">
        <v>59</v>
      </c>
      <c r="C49" s="3">
        <v>64</v>
      </c>
      <c r="D49" s="3">
        <v>13</v>
      </c>
      <c r="E49" s="16">
        <f t="shared" si="2"/>
        <v>77</v>
      </c>
      <c r="F49" s="60"/>
      <c r="G49" s="29">
        <v>0</v>
      </c>
      <c r="H49" s="30">
        <v>0</v>
      </c>
      <c r="I49" s="30">
        <f t="shared" si="0"/>
        <v>77</v>
      </c>
      <c r="J49" s="30">
        <v>0</v>
      </c>
      <c r="K49" s="16">
        <f t="shared" si="1"/>
        <v>77</v>
      </c>
      <c r="L49" s="62"/>
      <c r="M49" s="27">
        <f>+E49*2.8550500788204%</f>
        <v>2.1983885606917077</v>
      </c>
      <c r="N49" s="27">
        <f>+E49*0.456999092371141%</f>
        <v>0.35188930112577854</v>
      </c>
      <c r="O49" s="27">
        <f>+E49*0.0525469339660197%</f>
        <v>4.0461139153835167E-2</v>
      </c>
      <c r="P49" s="31">
        <f>+E49*96.6354038948424%</f>
        <v>74.409260999028646</v>
      </c>
      <c r="Q49" s="32">
        <f t="shared" si="3"/>
        <v>76.999999999999972</v>
      </c>
      <c r="T49" s="10">
        <v>41</v>
      </c>
      <c r="U49" s="7" t="s">
        <v>58</v>
      </c>
      <c r="V49" s="3">
        <v>47</v>
      </c>
      <c r="W49" s="3">
        <v>53</v>
      </c>
      <c r="X49" s="16">
        <f t="shared" si="5"/>
        <v>100</v>
      </c>
    </row>
    <row r="50" spans="1:24" x14ac:dyDescent="0.3">
      <c r="A50" s="28">
        <v>17787</v>
      </c>
      <c r="B50" s="5" t="s">
        <v>48</v>
      </c>
      <c r="C50" s="3">
        <v>352</v>
      </c>
      <c r="D50" s="3">
        <v>200</v>
      </c>
      <c r="E50" s="16">
        <f t="shared" si="2"/>
        <v>552</v>
      </c>
      <c r="F50" s="60"/>
      <c r="G50" s="29">
        <v>0</v>
      </c>
      <c r="H50" s="30">
        <v>0</v>
      </c>
      <c r="I50" s="30">
        <f t="shared" si="0"/>
        <v>552</v>
      </c>
      <c r="J50" s="30">
        <v>0</v>
      </c>
      <c r="K50" s="16">
        <f t="shared" si="1"/>
        <v>552</v>
      </c>
      <c r="L50" s="62"/>
      <c r="M50" s="27">
        <f>+E50*24.0178648859596%</f>
        <v>132.57861417049699</v>
      </c>
      <c r="N50" s="27">
        <f>+E50*0.134420258433787%</f>
        <v>0.74199982655450414</v>
      </c>
      <c r="O50" s="27">
        <f>+E50*0.0130084121064955%</f>
        <v>7.1806434827855162E-2</v>
      </c>
      <c r="P50" s="31">
        <f>+E50*75.8347064435001%</f>
        <v>418.60757956812057</v>
      </c>
      <c r="Q50" s="32">
        <f t="shared" si="3"/>
        <v>551.99999999999989</v>
      </c>
      <c r="T50" s="10">
        <v>42</v>
      </c>
      <c r="U50" s="7" t="s">
        <v>32</v>
      </c>
      <c r="V50" s="3">
        <v>38</v>
      </c>
      <c r="W50" s="3">
        <v>26</v>
      </c>
      <c r="X50" s="16">
        <f t="shared" si="5"/>
        <v>64</v>
      </c>
    </row>
    <row r="51" spans="1:24" x14ac:dyDescent="0.3">
      <c r="A51" s="28">
        <v>17788</v>
      </c>
      <c r="B51" s="5" t="s">
        <v>49</v>
      </c>
      <c r="C51" s="3">
        <v>6</v>
      </c>
      <c r="D51" s="3">
        <v>6</v>
      </c>
      <c r="E51" s="16">
        <f t="shared" si="2"/>
        <v>12</v>
      </c>
      <c r="F51" s="60"/>
      <c r="G51" s="29">
        <v>0</v>
      </c>
      <c r="H51" s="30">
        <v>0</v>
      </c>
      <c r="I51" s="30">
        <f t="shared" si="0"/>
        <v>12</v>
      </c>
      <c r="J51" s="30">
        <v>0</v>
      </c>
      <c r="K51" s="16">
        <f t="shared" si="1"/>
        <v>12</v>
      </c>
      <c r="L51" s="62"/>
      <c r="M51" s="27">
        <f>+E51*16.61494952669%</f>
        <v>1.9937939432028</v>
      </c>
      <c r="N51" s="27">
        <f>+E51*0.109980753368161%</f>
        <v>1.319769040417932E-2</v>
      </c>
      <c r="O51" s="27">
        <f>+E51*0.0707019128795318%</f>
        <v>8.4842295455438161E-3</v>
      </c>
      <c r="P51" s="31">
        <f>+E51*83.2043678070623%</f>
        <v>9.984524136847476</v>
      </c>
      <c r="Q51" s="32">
        <f t="shared" si="3"/>
        <v>12</v>
      </c>
      <c r="T51" s="10">
        <v>43</v>
      </c>
      <c r="U51" s="6" t="s">
        <v>59</v>
      </c>
      <c r="V51" s="3">
        <v>64</v>
      </c>
      <c r="W51" s="3">
        <v>13</v>
      </c>
      <c r="X51" s="16">
        <f t="shared" si="5"/>
        <v>77</v>
      </c>
    </row>
    <row r="52" spans="1:24" x14ac:dyDescent="0.3">
      <c r="A52" s="28">
        <v>17789</v>
      </c>
      <c r="B52" s="7" t="s">
        <v>50</v>
      </c>
      <c r="C52" s="3">
        <v>36</v>
      </c>
      <c r="D52" s="3">
        <v>7</v>
      </c>
      <c r="E52" s="16">
        <f t="shared" si="2"/>
        <v>43</v>
      </c>
      <c r="F52" s="60"/>
      <c r="G52" s="29">
        <v>0</v>
      </c>
      <c r="H52" s="30">
        <v>0</v>
      </c>
      <c r="I52" s="30">
        <f t="shared" si="0"/>
        <v>43</v>
      </c>
      <c r="J52" s="30">
        <v>0</v>
      </c>
      <c r="K52" s="16">
        <f t="shared" si="1"/>
        <v>43</v>
      </c>
      <c r="L52" s="62"/>
      <c r="M52" s="27">
        <f>+E52*1.20848405129891%</f>
        <v>0.51964814205853127</v>
      </c>
      <c r="N52" s="27">
        <f>+E52*0.147977638934561%</f>
        <v>6.3630384741861237E-2</v>
      </c>
      <c r="O52" s="27">
        <f>+E52*0.0246629398224268%</f>
        <v>1.0605064123643522E-2</v>
      </c>
      <c r="P52" s="31">
        <f>+E52*98.6188753699441%</f>
        <v>42.406116409075963</v>
      </c>
      <c r="Q52" s="32">
        <f t="shared" si="3"/>
        <v>43</v>
      </c>
      <c r="T52" s="10">
        <v>44</v>
      </c>
      <c r="U52" s="5" t="s">
        <v>48</v>
      </c>
      <c r="V52" s="3">
        <v>352</v>
      </c>
      <c r="W52" s="3">
        <v>200</v>
      </c>
      <c r="X52" s="16">
        <f t="shared" si="5"/>
        <v>552</v>
      </c>
    </row>
    <row r="53" spans="1:24" x14ac:dyDescent="0.3">
      <c r="A53" s="28">
        <v>17790</v>
      </c>
      <c r="B53" s="5" t="s">
        <v>30</v>
      </c>
      <c r="C53" s="3">
        <v>5</v>
      </c>
      <c r="D53" s="3">
        <v>2</v>
      </c>
      <c r="E53" s="16">
        <f t="shared" si="2"/>
        <v>7</v>
      </c>
      <c r="F53" s="60"/>
      <c r="G53" s="29">
        <v>0</v>
      </c>
      <c r="H53" s="30">
        <v>0</v>
      </c>
      <c r="I53" s="30">
        <f t="shared" si="0"/>
        <v>7</v>
      </c>
      <c r="J53" s="30">
        <v>0</v>
      </c>
      <c r="K53" s="16">
        <f t="shared" si="1"/>
        <v>7</v>
      </c>
      <c r="L53" s="62"/>
      <c r="M53" s="27">
        <f>+E53*93.7171595856478%</f>
        <v>6.5602011709953461</v>
      </c>
      <c r="N53" s="27">
        <f>+E53*0.0487914727518391%</f>
        <v>3.4154030926287372E-3</v>
      </c>
      <c r="O53" s="27">
        <f>+E53*0%</f>
        <v>0</v>
      </c>
      <c r="P53" s="31">
        <f>+E53*6.23404894160036%</f>
        <v>0.43638342591202517</v>
      </c>
      <c r="Q53" s="32">
        <f t="shared" si="3"/>
        <v>7</v>
      </c>
      <c r="T53" s="10">
        <v>45</v>
      </c>
      <c r="U53" s="5" t="s">
        <v>49</v>
      </c>
      <c r="V53" s="3">
        <v>6</v>
      </c>
      <c r="W53" s="3">
        <v>6</v>
      </c>
      <c r="X53" s="16">
        <f t="shared" si="5"/>
        <v>12</v>
      </c>
    </row>
    <row r="54" spans="1:24" x14ac:dyDescent="0.3">
      <c r="A54" s="36">
        <v>18420</v>
      </c>
      <c r="B54" s="8" t="s">
        <v>8</v>
      </c>
      <c r="C54" s="3">
        <v>394</v>
      </c>
      <c r="D54" s="3">
        <v>189</v>
      </c>
      <c r="E54" s="18">
        <f t="shared" si="2"/>
        <v>583</v>
      </c>
      <c r="F54" s="60"/>
      <c r="G54" s="29">
        <v>0</v>
      </c>
      <c r="H54" s="30">
        <v>0</v>
      </c>
      <c r="I54" s="30">
        <f t="shared" si="0"/>
        <v>583</v>
      </c>
      <c r="J54" s="30">
        <v>0</v>
      </c>
      <c r="K54" s="16">
        <f t="shared" si="1"/>
        <v>583</v>
      </c>
      <c r="L54" s="62"/>
      <c r="M54" s="27">
        <f>+E54*3.7284167023856%</f>
        <v>21.736669374908047</v>
      </c>
      <c r="N54" s="27">
        <f>+E54*0.110035633632519%</f>
        <v>0.64150774407758571</v>
      </c>
      <c r="O54" s="27">
        <f>+E54*0.032626844856154%</f>
        <v>0.19021450551137781</v>
      </c>
      <c r="P54" s="31">
        <f>+E54*96.1289208191257%</f>
        <v>560.43160837550283</v>
      </c>
      <c r="Q54" s="32">
        <f t="shared" si="3"/>
        <v>582.99999999999989</v>
      </c>
      <c r="T54" s="10">
        <v>46</v>
      </c>
      <c r="U54" s="7" t="s">
        <v>50</v>
      </c>
      <c r="V54" s="3">
        <v>36</v>
      </c>
      <c r="W54" s="3">
        <v>7</v>
      </c>
      <c r="X54" s="16">
        <f t="shared" si="5"/>
        <v>43</v>
      </c>
    </row>
    <row r="55" spans="1:24" x14ac:dyDescent="0.3">
      <c r="A55" s="36">
        <v>18425</v>
      </c>
      <c r="B55" s="8" t="s">
        <v>51</v>
      </c>
      <c r="C55" s="3">
        <v>31</v>
      </c>
      <c r="D55" s="3">
        <v>8</v>
      </c>
      <c r="E55" s="18">
        <f t="shared" si="2"/>
        <v>39</v>
      </c>
      <c r="F55" s="60"/>
      <c r="G55" s="29">
        <v>0</v>
      </c>
      <c r="H55" s="30">
        <v>0</v>
      </c>
      <c r="I55" s="30">
        <f t="shared" si="0"/>
        <v>39</v>
      </c>
      <c r="J55" s="30">
        <v>0</v>
      </c>
      <c r="K55" s="16">
        <f t="shared" si="1"/>
        <v>39</v>
      </c>
      <c r="L55" s="62"/>
      <c r="M55" s="27">
        <f>+E55*0.691818097961443%</f>
        <v>0.26980905820496276</v>
      </c>
      <c r="N55" s="27">
        <f>+E55*0.064569689143068%</f>
        <v>2.5182178765796519E-2</v>
      </c>
      <c r="O55" s="27">
        <f>+E55*0.00922424130615257%</f>
        <v>3.5974541093995024E-3</v>
      </c>
      <c r="P55" s="31">
        <f>+E55*99.2343879715893%</f>
        <v>38.70141130891983</v>
      </c>
      <c r="Q55" s="32">
        <f t="shared" si="3"/>
        <v>38.999999999999986</v>
      </c>
      <c r="T55" s="10">
        <v>47</v>
      </c>
      <c r="U55" s="5" t="s">
        <v>30</v>
      </c>
      <c r="V55" s="3">
        <v>5</v>
      </c>
      <c r="W55" s="3">
        <v>2</v>
      </c>
      <c r="X55" s="16">
        <f t="shared" si="5"/>
        <v>7</v>
      </c>
    </row>
    <row r="56" spans="1:24" x14ac:dyDescent="0.3">
      <c r="A56" s="36">
        <v>18428</v>
      </c>
      <c r="B56" s="8" t="s">
        <v>35</v>
      </c>
      <c r="C56" s="3">
        <v>12</v>
      </c>
      <c r="D56" s="3">
        <v>10</v>
      </c>
      <c r="E56" s="18">
        <f t="shared" si="2"/>
        <v>22</v>
      </c>
      <c r="F56" s="60"/>
      <c r="G56" s="29">
        <v>0</v>
      </c>
      <c r="H56" s="30">
        <v>0</v>
      </c>
      <c r="I56" s="30">
        <f t="shared" si="0"/>
        <v>22</v>
      </c>
      <c r="J56" s="30">
        <v>0</v>
      </c>
      <c r="K56" s="16">
        <f t="shared" si="1"/>
        <v>22</v>
      </c>
      <c r="L56" s="62"/>
      <c r="M56" s="27">
        <f>+E56*9.11805612370122%</f>
        <v>2.0059723472142683</v>
      </c>
      <c r="N56" s="27">
        <f>+E56*0.0613597316534402%</f>
        <v>1.3499140963756845E-2</v>
      </c>
      <c r="O56" s="27">
        <f>+E56*0%</f>
        <v>0</v>
      </c>
      <c r="P56" s="31">
        <f>+E56*90.8205841446453%</f>
        <v>19.980528511821966</v>
      </c>
      <c r="Q56" s="32">
        <f t="shared" si="3"/>
        <v>21.999999999999993</v>
      </c>
      <c r="T56" s="10">
        <v>48</v>
      </c>
      <c r="U56" s="8" t="s">
        <v>8</v>
      </c>
      <c r="V56" s="3">
        <v>394</v>
      </c>
      <c r="W56" s="3">
        <v>189</v>
      </c>
      <c r="X56" s="18">
        <f t="shared" si="5"/>
        <v>583</v>
      </c>
    </row>
    <row r="57" spans="1:24" ht="17.25" thickBot="1" x14ac:dyDescent="0.35">
      <c r="A57" s="37">
        <v>16286</v>
      </c>
      <c r="B57" s="8" t="s">
        <v>52</v>
      </c>
      <c r="C57" s="3">
        <v>40</v>
      </c>
      <c r="D57" s="3">
        <v>7</v>
      </c>
      <c r="E57" s="18">
        <f t="shared" si="2"/>
        <v>47</v>
      </c>
      <c r="F57" s="60"/>
      <c r="G57" s="38">
        <v>0</v>
      </c>
      <c r="H57" s="30">
        <v>0</v>
      </c>
      <c r="I57" s="30">
        <f t="shared" si="0"/>
        <v>47</v>
      </c>
      <c r="J57" s="30">
        <v>0</v>
      </c>
      <c r="K57" s="16">
        <f t="shared" si="1"/>
        <v>47</v>
      </c>
      <c r="L57" s="62"/>
      <c r="M57" s="27">
        <f>+E57*74.371685286774%</f>
        <v>34.95469208478378</v>
      </c>
      <c r="N57" s="27">
        <f>+E57*0.114818932366181%</f>
        <v>5.3964898212105067E-2</v>
      </c>
      <c r="O57" s="27">
        <f>+E57*0.00364504547194226%</f>
        <v>1.7131713718128623E-3</v>
      </c>
      <c r="P57" s="39">
        <f>+E57*25.5098507353879%</f>
        <v>11.989629845632313</v>
      </c>
      <c r="Q57" s="32">
        <f t="shared" si="3"/>
        <v>47.000000000000014</v>
      </c>
      <c r="T57" s="10">
        <v>50</v>
      </c>
      <c r="U57" s="8" t="s">
        <v>51</v>
      </c>
      <c r="V57" s="3">
        <v>31</v>
      </c>
      <c r="W57" s="3">
        <v>8</v>
      </c>
      <c r="X57" s="18">
        <f t="shared" si="5"/>
        <v>39</v>
      </c>
    </row>
    <row r="58" spans="1:24" ht="19.5" thickBot="1" x14ac:dyDescent="0.35">
      <c r="A58" s="40"/>
      <c r="B58" s="41" t="s">
        <v>90</v>
      </c>
      <c r="C58" s="42">
        <f>SUM(C7:C57)</f>
        <v>21313</v>
      </c>
      <c r="D58" s="42">
        <f>SUM(D7:D57)</f>
        <v>14828</v>
      </c>
      <c r="E58" s="42">
        <f>SUM(E7:E57)</f>
        <v>36141</v>
      </c>
      <c r="F58" s="61"/>
      <c r="G58" s="42">
        <f>SUM(G7:G57)</f>
        <v>0</v>
      </c>
      <c r="H58" s="42">
        <f>SUM(H7:H57)</f>
        <v>0</v>
      </c>
      <c r="I58" s="42">
        <f>SUM(I7:I57)</f>
        <v>36141</v>
      </c>
      <c r="J58" s="42">
        <f>SUM(J7:J57)</f>
        <v>0</v>
      </c>
      <c r="K58" s="42">
        <f>SUM(K7:K57)</f>
        <v>36141</v>
      </c>
      <c r="L58" s="63"/>
      <c r="M58" s="43">
        <f>SUM(M7:M57)</f>
        <v>5364.9157257355782</v>
      </c>
      <c r="N58" s="42">
        <f>SUM(N7:N57)</f>
        <v>61.989911487690968</v>
      </c>
      <c r="O58" s="44">
        <f>SUM(O7:O57)</f>
        <v>387.28823870906382</v>
      </c>
      <c r="P58" s="42">
        <f>SUM(P7:P57)</f>
        <v>30326.804934244577</v>
      </c>
      <c r="Q58" s="45">
        <f>SUM(Q7:Q57)</f>
        <v>36140.998810176905</v>
      </c>
      <c r="T58" s="10">
        <v>52</v>
      </c>
      <c r="U58" s="8" t="s">
        <v>35</v>
      </c>
      <c r="V58" s="3">
        <v>12</v>
      </c>
      <c r="W58" s="3">
        <v>10</v>
      </c>
      <c r="X58" s="18">
        <f t="shared" si="5"/>
        <v>22</v>
      </c>
    </row>
    <row r="59" spans="1:24" ht="17.25" thickBot="1" x14ac:dyDescent="0.35">
      <c r="A59" s="40"/>
      <c r="B59" s="46"/>
      <c r="C59" s="46"/>
      <c r="D59" s="46"/>
      <c r="E59" s="47"/>
      <c r="F59" s="46"/>
      <c r="G59" s="46"/>
      <c r="H59" s="46"/>
      <c r="I59" s="46"/>
      <c r="J59" s="46"/>
      <c r="K59" s="46"/>
      <c r="L59" s="46"/>
      <c r="N59" s="46"/>
      <c r="O59" s="46"/>
      <c r="P59" s="46"/>
      <c r="Q59" s="46"/>
      <c r="T59" s="10">
        <v>53</v>
      </c>
      <c r="U59" s="8" t="s">
        <v>52</v>
      </c>
      <c r="V59" s="3">
        <v>40</v>
      </c>
      <c r="W59" s="3">
        <v>7</v>
      </c>
      <c r="X59" s="18">
        <f t="shared" si="5"/>
        <v>47</v>
      </c>
    </row>
    <row r="60" spans="1:24" ht="18" thickBot="1" x14ac:dyDescent="0.35">
      <c r="U60" s="14" t="s">
        <v>33</v>
      </c>
      <c r="V60" s="11">
        <f>SUM(V9:V59)</f>
        <v>21313</v>
      </c>
      <c r="W60" s="11">
        <f>SUM(W9:W59)</f>
        <v>14828</v>
      </c>
      <c r="X60" s="12">
        <f>SUM(X9:X59)</f>
        <v>36141</v>
      </c>
    </row>
    <row r="62" spans="1:24" x14ac:dyDescent="0.3">
      <c r="D62" s="48"/>
      <c r="E62" s="48"/>
    </row>
    <row r="63" spans="1:24" ht="27" customHeight="1" x14ac:dyDescent="0.3">
      <c r="D63" s="49">
        <v>61376</v>
      </c>
      <c r="E63" s="48">
        <v>100</v>
      </c>
    </row>
    <row r="64" spans="1:24" x14ac:dyDescent="0.3">
      <c r="D64" s="48">
        <v>46653</v>
      </c>
      <c r="E64" s="48">
        <f>+D64*E63/D63</f>
        <v>76.011796141814386</v>
      </c>
    </row>
    <row r="65" spans="4:5" x14ac:dyDescent="0.3">
      <c r="D65" s="50">
        <f>+D63-D64</f>
        <v>14723</v>
      </c>
      <c r="E65" s="51"/>
    </row>
    <row r="66" spans="4:5" x14ac:dyDescent="0.3">
      <c r="D66" s="51"/>
      <c r="E66" s="51"/>
    </row>
    <row r="67" spans="4:5" x14ac:dyDescent="0.3">
      <c r="D67" s="52"/>
      <c r="E67" s="52"/>
    </row>
    <row r="68" spans="4:5" x14ac:dyDescent="0.3">
      <c r="D68" s="52"/>
      <c r="E68" s="52"/>
    </row>
    <row r="69" spans="4:5" x14ac:dyDescent="0.3">
      <c r="D69" s="52"/>
      <c r="E69" s="52"/>
    </row>
    <row r="70" spans="4:5" x14ac:dyDescent="0.3">
      <c r="D70" s="52"/>
      <c r="E70" s="52"/>
    </row>
    <row r="71" spans="4:5" x14ac:dyDescent="0.3">
      <c r="D71" s="52"/>
      <c r="E71" s="52"/>
    </row>
    <row r="72" spans="4:5" x14ac:dyDescent="0.3">
      <c r="D72" s="52"/>
      <c r="E72" s="52"/>
    </row>
    <row r="73" spans="4:5" x14ac:dyDescent="0.3">
      <c r="D73" s="53"/>
      <c r="E73" s="53"/>
    </row>
    <row r="75" spans="4:5" x14ac:dyDescent="0.3">
      <c r="D75" s="54"/>
    </row>
  </sheetData>
  <mergeCells count="33">
    <mergeCell ref="T1:X1"/>
    <mergeCell ref="T2:X2"/>
    <mergeCell ref="T3:X3"/>
    <mergeCell ref="T5:X5"/>
    <mergeCell ref="T7:T8"/>
    <mergeCell ref="U7:U8"/>
    <mergeCell ref="V7:X7"/>
    <mergeCell ref="Z9:AD9"/>
    <mergeCell ref="Z10:AD10"/>
    <mergeCell ref="Z13:AD13"/>
    <mergeCell ref="Z14:Z16"/>
    <mergeCell ref="AA14:AC14"/>
    <mergeCell ref="AA15:AC15"/>
    <mergeCell ref="AA16:AC16"/>
    <mergeCell ref="Z17:Z21"/>
    <mergeCell ref="AA17:AC17"/>
    <mergeCell ref="AA18:AC18"/>
    <mergeCell ref="AA19:AC19"/>
    <mergeCell ref="AA20:AC20"/>
    <mergeCell ref="AA21:AC21"/>
    <mergeCell ref="Z22:Z26"/>
    <mergeCell ref="AA22:AC22"/>
    <mergeCell ref="AA23:AC23"/>
    <mergeCell ref="AA24:AC24"/>
    <mergeCell ref="AA25:AC25"/>
    <mergeCell ref="AA26:AC26"/>
    <mergeCell ref="A5:A6"/>
    <mergeCell ref="B5:B6"/>
    <mergeCell ref="F6:F58"/>
    <mergeCell ref="L6:L58"/>
    <mergeCell ref="A2:Q2"/>
    <mergeCell ref="A3:Q3"/>
    <mergeCell ref="C5:Q5"/>
  </mergeCells>
  <pageMargins left="1.1023622047244095" right="0.70866141732283472" top="0.74803149606299213" bottom="0.74803149606299213" header="0.31496062992125984" footer="0.31496062992125984"/>
  <pageSetup scale="47" fitToWidth="2" orientation="landscape" r:id="rId1"/>
  <colBreaks count="2" manualBreakCount="2">
    <brk id="17" max="59" man="1"/>
    <brk id="25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2021-12-06T16:41:38Z</dcterms:modified>
</cp:coreProperties>
</file>